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tabRatio="862"/>
  </bookViews>
  <sheets>
    <sheet name="Обоснование" sheetId="41" r:id="rId1"/>
    <sheet name="ИДиР" sheetId="35" r:id="rId2"/>
    <sheet name="Свод" sheetId="47" r:id="rId3"/>
    <sheet name="Э1 (СЗ)" sheetId="37" r:id="rId4"/>
    <sheet name="Э2 (СЗ)" sheetId="38" r:id="rId5"/>
    <sheet name="Э3 (СЗ)" sheetId="39" r:id="rId6"/>
    <sheet name="Э4 (СЗ)" sheetId="40" r:id="rId7"/>
    <sheet name="ИДиР (2)" sheetId="48" r:id="rId8"/>
    <sheet name="Свод (2)" sheetId="49" r:id="rId9"/>
    <sheet name="Э1 (СЗ) (2)" sheetId="50" r:id="rId10"/>
    <sheet name="Э2 (СЗ) (2)" sheetId="51" r:id="rId11"/>
    <sheet name="Э3 (СЗ) (2)" sheetId="52" r:id="rId12"/>
    <sheet name="Э4 (СЗ) (2)" sheetId="53" r:id="rId13"/>
  </sheets>
  <definedNames>
    <definedName name="solver_adj" localSheetId="0" hidden="1">Обоснование!$C$27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Обоснование!$C$30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67.428</definedName>
    <definedName name="solver_ver" localSheetId="0" hidden="1">3</definedName>
    <definedName name="_xlnm.Print_Titles" localSheetId="2">Свод!$1:$1</definedName>
    <definedName name="_xlnm.Print_Titles" localSheetId="8">'Свод (2)'!$1:$1</definedName>
    <definedName name="_xlnm.Print_Titles" localSheetId="3">'Э1 (СЗ)'!$1:$1</definedName>
    <definedName name="_xlnm.Print_Titles" localSheetId="9">'Э1 (СЗ) (2)'!$1:$1</definedName>
    <definedName name="_xlnm.Print_Titles" localSheetId="4">'Э2 (СЗ)'!$1:$1</definedName>
    <definedName name="_xlnm.Print_Titles" localSheetId="10">'Э2 (СЗ) (2)'!$1:$1</definedName>
    <definedName name="_xlnm.Print_Titles" localSheetId="5">'Э3 (СЗ)'!$1:$1</definedName>
    <definedName name="_xlnm.Print_Titles" localSheetId="11">'Э3 (СЗ) (2)'!$1:$1</definedName>
    <definedName name="_xlnm.Print_Titles" localSheetId="6">'Э4 (СЗ)'!$1:$1</definedName>
    <definedName name="_xlnm.Print_Titles" localSheetId="12">'Э4 (СЗ) (2)'!$1:$1</definedName>
    <definedName name="_xlnm.Print_Area" localSheetId="0">Обоснование!$A$1:$C$65</definedName>
    <definedName name="_xlnm.Print_Area" localSheetId="2">Свод!$A$1:$Z$86</definedName>
    <definedName name="_xlnm.Print_Area" localSheetId="8">'Свод (2)'!$A$1:$Z$86</definedName>
    <definedName name="_xlnm.Print_Area" localSheetId="3">'Э1 (СЗ)'!$A$1:$Z$55</definedName>
    <definedName name="_xlnm.Print_Area" localSheetId="9">'Э1 (СЗ) (2)'!$A$1:$Z$55</definedName>
    <definedName name="_xlnm.Print_Area" localSheetId="4">'Э2 (СЗ)'!$A$1:$Z$55</definedName>
    <definedName name="_xlnm.Print_Area" localSheetId="10">'Э2 (СЗ) (2)'!$A$1:$Z$55</definedName>
    <definedName name="_xlnm.Print_Area" localSheetId="5">'Э3 (СЗ)'!$A$1:$Z$55</definedName>
    <definedName name="_xlnm.Print_Area" localSheetId="11">'Э3 (СЗ) (2)'!$A$1:$Z$55</definedName>
    <definedName name="_xlnm.Print_Area" localSheetId="6">'Э4 (СЗ)'!$A$1:$Z$56</definedName>
    <definedName name="_xlnm.Print_Area" localSheetId="12">'Э4 (СЗ) (2)'!$A$1:$Z$56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1" l="1"/>
  <c r="C8" i="35" l="1"/>
  <c r="B4" i="50"/>
  <c r="B18" i="48" l="1"/>
  <c r="B27" i="48"/>
  <c r="B26" i="48"/>
  <c r="B25" i="48"/>
  <c r="B24" i="48"/>
  <c r="B23" i="48"/>
  <c r="B21" i="48"/>
  <c r="D14" i="50"/>
  <c r="E14" i="50" s="1"/>
  <c r="F14" i="50" s="1"/>
  <c r="G14" i="50" s="1"/>
  <c r="H14" i="50" s="1"/>
  <c r="I14" i="50" s="1"/>
  <c r="J14" i="50" s="1"/>
  <c r="K14" i="50" s="1"/>
  <c r="L14" i="50" s="1"/>
  <c r="M14" i="50" s="1"/>
  <c r="N14" i="50" s="1"/>
  <c r="O14" i="50" s="1"/>
  <c r="P14" i="50" s="1"/>
  <c r="Q14" i="50" s="1"/>
  <c r="R14" i="50" s="1"/>
  <c r="S14" i="50" s="1"/>
  <c r="T14" i="50" s="1"/>
  <c r="U14" i="50" s="1"/>
  <c r="V14" i="50" s="1"/>
  <c r="C14" i="50"/>
  <c r="C14" i="38"/>
  <c r="C14" i="39" s="1"/>
  <c r="C14" i="40" s="1"/>
  <c r="M15" i="53"/>
  <c r="L15" i="53"/>
  <c r="K15" i="53"/>
  <c r="J15" i="53"/>
  <c r="I15" i="53"/>
  <c r="H15" i="53"/>
  <c r="G15" i="53"/>
  <c r="F15" i="53"/>
  <c r="E15" i="53"/>
  <c r="D15" i="53"/>
  <c r="C15" i="53"/>
  <c r="V15" i="52"/>
  <c r="U15" i="52"/>
  <c r="K15" i="52"/>
  <c r="J15" i="52"/>
  <c r="I15" i="52"/>
  <c r="H15" i="52"/>
  <c r="G15" i="52"/>
  <c r="F15" i="52"/>
  <c r="E15" i="52"/>
  <c r="D15" i="52"/>
  <c r="C15" i="52"/>
  <c r="V15" i="51"/>
  <c r="U15" i="51"/>
  <c r="T15" i="51"/>
  <c r="S15" i="51"/>
  <c r="I15" i="51"/>
  <c r="H15" i="51"/>
  <c r="G15" i="51"/>
  <c r="F15" i="51"/>
  <c r="E15" i="51"/>
  <c r="D15" i="51"/>
  <c r="C15" i="51"/>
  <c r="V15" i="50"/>
  <c r="U15" i="50"/>
  <c r="T15" i="50"/>
  <c r="S15" i="50"/>
  <c r="R15" i="50"/>
  <c r="Q15" i="50"/>
  <c r="G15" i="50"/>
  <c r="F15" i="50"/>
  <c r="E15" i="50"/>
  <c r="D15" i="50"/>
  <c r="C15" i="50"/>
  <c r="E10" i="49" l="1"/>
  <c r="C14" i="51"/>
  <c r="C14" i="52" s="1"/>
  <c r="D10" i="49"/>
  <c r="F10" i="49"/>
  <c r="G10" i="49"/>
  <c r="D14" i="51"/>
  <c r="E14" i="51" s="1"/>
  <c r="F14" i="51" s="1"/>
  <c r="G14" i="51" s="1"/>
  <c r="H14" i="51" s="1"/>
  <c r="I14" i="51" s="1"/>
  <c r="J14" i="51" s="1"/>
  <c r="K14" i="51" s="1"/>
  <c r="L14" i="51" s="1"/>
  <c r="M14" i="51" s="1"/>
  <c r="N14" i="51" s="1"/>
  <c r="O14" i="51" s="1"/>
  <c r="P14" i="51" s="1"/>
  <c r="Q14" i="51" s="1"/>
  <c r="R14" i="51" s="1"/>
  <c r="S14" i="51" s="1"/>
  <c r="T14" i="51" s="1"/>
  <c r="U14" i="51" s="1"/>
  <c r="V14" i="51" s="1"/>
  <c r="C10" i="49"/>
  <c r="D14" i="52" l="1"/>
  <c r="E14" i="52" s="1"/>
  <c r="F14" i="52" s="1"/>
  <c r="G14" i="52" s="1"/>
  <c r="H14" i="52" s="1"/>
  <c r="I14" i="52" s="1"/>
  <c r="J14" i="52" s="1"/>
  <c r="K14" i="52" s="1"/>
  <c r="L14" i="52" s="1"/>
  <c r="M14" i="52" s="1"/>
  <c r="N14" i="52" s="1"/>
  <c r="O14" i="52" s="1"/>
  <c r="P14" i="52" s="1"/>
  <c r="Q14" i="52" s="1"/>
  <c r="R14" i="52" s="1"/>
  <c r="S14" i="52" s="1"/>
  <c r="T14" i="52" s="1"/>
  <c r="U14" i="52" s="1"/>
  <c r="V14" i="52" s="1"/>
  <c r="C14" i="53"/>
  <c r="D14" i="53" s="1"/>
  <c r="E14" i="53" s="1"/>
  <c r="F14" i="53" s="1"/>
  <c r="G14" i="53" s="1"/>
  <c r="H14" i="53" s="1"/>
  <c r="I14" i="53" s="1"/>
  <c r="J14" i="53" s="1"/>
  <c r="K14" i="53" s="1"/>
  <c r="L14" i="53" s="1"/>
  <c r="M14" i="53" s="1"/>
  <c r="N14" i="53" s="1"/>
  <c r="O14" i="53" s="1"/>
  <c r="P14" i="53" s="1"/>
  <c r="Q14" i="53" s="1"/>
  <c r="R14" i="53" s="1"/>
  <c r="S14" i="53" s="1"/>
  <c r="T14" i="53" s="1"/>
  <c r="U14" i="53" s="1"/>
  <c r="V14" i="53" s="1"/>
  <c r="C71" i="41" l="1"/>
  <c r="C72" i="41" s="1"/>
  <c r="B22" i="35"/>
  <c r="B22" i="48" s="1"/>
  <c r="D14" i="37"/>
  <c r="E14" i="37" s="1"/>
  <c r="F14" i="37" s="1"/>
  <c r="G14" i="37" s="1"/>
  <c r="H14" i="37" s="1"/>
  <c r="I14" i="37" s="1"/>
  <c r="J14" i="37" s="1"/>
  <c r="K14" i="37" s="1"/>
  <c r="M15" i="40"/>
  <c r="L15" i="40"/>
  <c r="K15" i="40"/>
  <c r="J15" i="40"/>
  <c r="I15" i="40"/>
  <c r="H15" i="40"/>
  <c r="G15" i="40"/>
  <c r="F15" i="40"/>
  <c r="E15" i="40"/>
  <c r="D15" i="40"/>
  <c r="C15" i="40"/>
  <c r="V15" i="39"/>
  <c r="U15" i="39"/>
  <c r="K15" i="39"/>
  <c r="J15" i="39"/>
  <c r="I15" i="39"/>
  <c r="H15" i="39"/>
  <c r="G15" i="39"/>
  <c r="F15" i="39"/>
  <c r="E15" i="39"/>
  <c r="D15" i="39"/>
  <c r="C15" i="39"/>
  <c r="V15" i="37"/>
  <c r="U15" i="37"/>
  <c r="T15" i="37"/>
  <c r="S15" i="37"/>
  <c r="R15" i="37"/>
  <c r="Q15" i="37"/>
  <c r="P15" i="37"/>
  <c r="O15" i="37"/>
  <c r="J15" i="37"/>
  <c r="I15" i="37"/>
  <c r="H15" i="37"/>
  <c r="G15" i="37"/>
  <c r="F15" i="37"/>
  <c r="E15" i="37"/>
  <c r="D15" i="37"/>
  <c r="C15" i="37"/>
  <c r="K19" i="38"/>
  <c r="K20" i="38"/>
  <c r="K32" i="38"/>
  <c r="V15" i="38"/>
  <c r="U15" i="38"/>
  <c r="T15" i="38"/>
  <c r="S15" i="38"/>
  <c r="I15" i="38"/>
  <c r="H15" i="38"/>
  <c r="G15" i="38"/>
  <c r="F15" i="38"/>
  <c r="E15" i="38"/>
  <c r="D15" i="38"/>
  <c r="C15" i="38"/>
  <c r="C17" i="38"/>
  <c r="D17" i="38"/>
  <c r="E17" i="38"/>
  <c r="F17" i="38"/>
  <c r="B70" i="41"/>
  <c r="L14" i="37" l="1"/>
  <c r="M14" i="37" s="1"/>
  <c r="N14" i="37" s="1"/>
  <c r="O14" i="37" s="1"/>
  <c r="P14" i="37" s="1"/>
  <c r="Q14" i="37" s="1"/>
  <c r="R14" i="37" s="1"/>
  <c r="S14" i="37" s="1"/>
  <c r="T14" i="37" s="1"/>
  <c r="U14" i="37" s="1"/>
  <c r="V14" i="37" s="1"/>
  <c r="C10" i="47"/>
  <c r="G10" i="47"/>
  <c r="E10" i="47"/>
  <c r="I10" i="47"/>
  <c r="D10" i="47"/>
  <c r="H10" i="47"/>
  <c r="F10" i="47"/>
  <c r="B19" i="41" l="1"/>
  <c r="B24" i="41"/>
  <c r="A3" i="49" l="1"/>
  <c r="A3" i="47"/>
  <c r="V17" i="50"/>
  <c r="U17" i="50"/>
  <c r="T17" i="50"/>
  <c r="S17" i="50"/>
  <c r="R17" i="50"/>
  <c r="Q17" i="50"/>
  <c r="G17" i="50"/>
  <c r="F17" i="50"/>
  <c r="E17" i="50"/>
  <c r="D17" i="50"/>
  <c r="D12" i="49" s="1"/>
  <c r="C17" i="50"/>
  <c r="C12" i="49" s="1"/>
  <c r="C39" i="53"/>
  <c r="C25" i="53" s="1"/>
  <c r="C49" i="53" s="1"/>
  <c r="Z35" i="53"/>
  <c r="Y35" i="53"/>
  <c r="X35" i="53"/>
  <c r="W35" i="53"/>
  <c r="V35" i="53"/>
  <c r="U35" i="53"/>
  <c r="T35" i="53"/>
  <c r="S35" i="53"/>
  <c r="J35" i="53"/>
  <c r="I35" i="53"/>
  <c r="H35" i="53"/>
  <c r="G35" i="53"/>
  <c r="F35" i="53"/>
  <c r="E35" i="53"/>
  <c r="Z32" i="53"/>
  <c r="Y32" i="53"/>
  <c r="X32" i="53"/>
  <c r="W32" i="53"/>
  <c r="Q32" i="53"/>
  <c r="P32" i="53"/>
  <c r="O32" i="53"/>
  <c r="N32" i="53"/>
  <c r="M32" i="53"/>
  <c r="L32" i="53"/>
  <c r="K32" i="53"/>
  <c r="J32" i="53"/>
  <c r="I32" i="53"/>
  <c r="H32" i="53"/>
  <c r="G32" i="53"/>
  <c r="F32" i="53"/>
  <c r="E32" i="53"/>
  <c r="D32" i="53"/>
  <c r="C32" i="53"/>
  <c r="Z31" i="53"/>
  <c r="Y31" i="53"/>
  <c r="X31" i="53"/>
  <c r="W31" i="53"/>
  <c r="V31" i="53"/>
  <c r="U31" i="53"/>
  <c r="T31" i="53"/>
  <c r="S31" i="53"/>
  <c r="J31" i="53"/>
  <c r="I31" i="53"/>
  <c r="H31" i="53"/>
  <c r="G31" i="53"/>
  <c r="F31" i="53"/>
  <c r="E31" i="53"/>
  <c r="D31" i="53"/>
  <c r="C31" i="53"/>
  <c r="C33" i="53" s="1"/>
  <c r="L29" i="53"/>
  <c r="K29" i="53"/>
  <c r="J29" i="53"/>
  <c r="I29" i="53"/>
  <c r="H29" i="53"/>
  <c r="G29" i="53"/>
  <c r="F29" i="53"/>
  <c r="E29" i="53"/>
  <c r="D29" i="53"/>
  <c r="V28" i="53"/>
  <c r="U28" i="53"/>
  <c r="T28" i="53"/>
  <c r="S28" i="53"/>
  <c r="L28" i="53"/>
  <c r="K28" i="53"/>
  <c r="J28" i="53"/>
  <c r="I28" i="53"/>
  <c r="H28" i="53"/>
  <c r="G28" i="53"/>
  <c r="F28" i="53"/>
  <c r="E28" i="53"/>
  <c r="D28" i="53"/>
  <c r="D24" i="53"/>
  <c r="C24" i="53"/>
  <c r="Z23" i="53"/>
  <c r="Y23" i="53"/>
  <c r="X23" i="53"/>
  <c r="W23" i="53"/>
  <c r="V23" i="53"/>
  <c r="U23" i="53"/>
  <c r="T23" i="53"/>
  <c r="S23" i="53"/>
  <c r="J23" i="53"/>
  <c r="I23" i="53"/>
  <c r="H23" i="53"/>
  <c r="G23" i="53"/>
  <c r="F23" i="53"/>
  <c r="E23" i="53"/>
  <c r="D21" i="53"/>
  <c r="C21" i="53"/>
  <c r="Z20" i="53"/>
  <c r="Y20" i="53"/>
  <c r="X20" i="53"/>
  <c r="W20" i="53"/>
  <c r="V20" i="53"/>
  <c r="U20" i="53"/>
  <c r="T20" i="53"/>
  <c r="S20" i="53"/>
  <c r="R20" i="53"/>
  <c r="Q20" i="53"/>
  <c r="P20" i="53"/>
  <c r="O20" i="53"/>
  <c r="N20" i="53"/>
  <c r="J20" i="53"/>
  <c r="I20" i="53"/>
  <c r="H20" i="53"/>
  <c r="G20" i="53"/>
  <c r="F20" i="53"/>
  <c r="E20" i="53"/>
  <c r="Z19" i="53"/>
  <c r="Y19" i="53"/>
  <c r="X19" i="53"/>
  <c r="W19" i="53"/>
  <c r="V19" i="53"/>
  <c r="U19" i="53"/>
  <c r="T19" i="53"/>
  <c r="S19" i="53"/>
  <c r="R19" i="53"/>
  <c r="Q19" i="53"/>
  <c r="P19" i="53"/>
  <c r="O19" i="53"/>
  <c r="N19" i="53"/>
  <c r="J19" i="53"/>
  <c r="I19" i="53"/>
  <c r="H19" i="53"/>
  <c r="G19" i="53"/>
  <c r="F19" i="53"/>
  <c r="E19" i="53"/>
  <c r="C18" i="53"/>
  <c r="C48" i="53" s="1"/>
  <c r="Z17" i="53"/>
  <c r="Y17" i="53"/>
  <c r="X17" i="53"/>
  <c r="W17" i="53"/>
  <c r="L17" i="53"/>
  <c r="K17" i="53"/>
  <c r="J17" i="53"/>
  <c r="I17" i="53"/>
  <c r="H17" i="53"/>
  <c r="G17" i="53"/>
  <c r="F17" i="53"/>
  <c r="E17" i="53"/>
  <c r="A11" i="53"/>
  <c r="G10" i="53"/>
  <c r="K10" i="53" s="1"/>
  <c r="O10" i="53" s="1"/>
  <c r="S10" i="53" s="1"/>
  <c r="W10" i="53" s="1"/>
  <c r="C39" i="52"/>
  <c r="C25" i="52" s="1"/>
  <c r="C49" i="52" s="1"/>
  <c r="Z35" i="52"/>
  <c r="Y35" i="52"/>
  <c r="X35" i="52"/>
  <c r="W35" i="52"/>
  <c r="V35" i="52"/>
  <c r="U35" i="52"/>
  <c r="T35" i="52"/>
  <c r="S35" i="52"/>
  <c r="R35" i="52"/>
  <c r="Q35" i="52"/>
  <c r="H35" i="52"/>
  <c r="G35" i="52"/>
  <c r="F35" i="52"/>
  <c r="E35" i="52"/>
  <c r="Z32" i="52"/>
  <c r="Y32" i="52"/>
  <c r="X32" i="52"/>
  <c r="W32" i="52"/>
  <c r="V32" i="52"/>
  <c r="U32" i="52"/>
  <c r="O32" i="52"/>
  <c r="N32" i="52"/>
  <c r="M32" i="52"/>
  <c r="L32" i="52"/>
  <c r="K32" i="52"/>
  <c r="J32" i="52"/>
  <c r="I32" i="52"/>
  <c r="H32" i="52"/>
  <c r="G32" i="52"/>
  <c r="F32" i="52"/>
  <c r="E32" i="52"/>
  <c r="D32" i="52"/>
  <c r="C32" i="52"/>
  <c r="Z31" i="52"/>
  <c r="Y31" i="52"/>
  <c r="X31" i="52"/>
  <c r="W31" i="52"/>
  <c r="V31" i="52"/>
  <c r="U31" i="52"/>
  <c r="T31" i="52"/>
  <c r="S31" i="52"/>
  <c r="R31" i="52"/>
  <c r="Q31" i="52"/>
  <c r="H31" i="52"/>
  <c r="G31" i="52"/>
  <c r="F31" i="52"/>
  <c r="E31" i="52"/>
  <c r="D31" i="52"/>
  <c r="C31" i="52"/>
  <c r="V29" i="52"/>
  <c r="U29" i="52"/>
  <c r="J29" i="52"/>
  <c r="I29" i="52"/>
  <c r="H29" i="52"/>
  <c r="G29" i="52"/>
  <c r="F29" i="52"/>
  <c r="E29" i="52"/>
  <c r="D29" i="52"/>
  <c r="V28" i="52"/>
  <c r="U28" i="52"/>
  <c r="T28" i="52"/>
  <c r="S28" i="52"/>
  <c r="R28" i="52"/>
  <c r="Q28" i="52"/>
  <c r="J28" i="52"/>
  <c r="I28" i="52"/>
  <c r="H28" i="52"/>
  <c r="G28" i="52"/>
  <c r="F28" i="52"/>
  <c r="E28" i="52"/>
  <c r="D28" i="52"/>
  <c r="D24" i="52"/>
  <c r="C24" i="52"/>
  <c r="Z23" i="52"/>
  <c r="Y23" i="52"/>
  <c r="X23" i="52"/>
  <c r="W23" i="52"/>
  <c r="V23" i="52"/>
  <c r="U23" i="52"/>
  <c r="T23" i="52"/>
  <c r="S23" i="52"/>
  <c r="R23" i="52"/>
  <c r="Q23" i="52"/>
  <c r="H23" i="52"/>
  <c r="G23" i="52"/>
  <c r="F23" i="52"/>
  <c r="E23" i="52"/>
  <c r="C21" i="52"/>
  <c r="D21" i="52" s="1"/>
  <c r="Z20" i="52"/>
  <c r="Y20" i="52"/>
  <c r="X20" i="52"/>
  <c r="W20" i="52"/>
  <c r="V20" i="52"/>
  <c r="U20" i="52"/>
  <c r="T20" i="52"/>
  <c r="S20" i="52"/>
  <c r="R20" i="52"/>
  <c r="Q20" i="52"/>
  <c r="P20" i="52"/>
  <c r="O20" i="52"/>
  <c r="N20" i="52"/>
  <c r="M20" i="52"/>
  <c r="L20" i="52"/>
  <c r="H20" i="52"/>
  <c r="G20" i="52"/>
  <c r="F20" i="52"/>
  <c r="E20" i="52"/>
  <c r="Z19" i="52"/>
  <c r="Y19" i="52"/>
  <c r="X19" i="52"/>
  <c r="W19" i="52"/>
  <c r="V19" i="52"/>
  <c r="U19" i="52"/>
  <c r="T19" i="52"/>
  <c r="S19" i="52"/>
  <c r="R19" i="52"/>
  <c r="Q19" i="52"/>
  <c r="P19" i="52"/>
  <c r="O19" i="52"/>
  <c r="N19" i="52"/>
  <c r="M19" i="52"/>
  <c r="L19" i="52"/>
  <c r="H19" i="52"/>
  <c r="G19" i="52"/>
  <c r="F19" i="52"/>
  <c r="E19" i="52"/>
  <c r="C18" i="52"/>
  <c r="C48" i="52" s="1"/>
  <c r="Z17" i="52"/>
  <c r="Y17" i="52"/>
  <c r="X17" i="52"/>
  <c r="W17" i="52"/>
  <c r="V17" i="52"/>
  <c r="U17" i="52"/>
  <c r="J17" i="52"/>
  <c r="I17" i="52"/>
  <c r="H17" i="52"/>
  <c r="G17" i="52"/>
  <c r="F17" i="52"/>
  <c r="E17" i="52"/>
  <c r="A11" i="52"/>
  <c r="G10" i="52"/>
  <c r="K10" i="52" s="1"/>
  <c r="O10" i="52" s="1"/>
  <c r="S10" i="52" s="1"/>
  <c r="W10" i="52" s="1"/>
  <c r="C39" i="51"/>
  <c r="Z35" i="51"/>
  <c r="Y35" i="51"/>
  <c r="X35" i="51"/>
  <c r="W35" i="51"/>
  <c r="V35" i="51"/>
  <c r="U35" i="51"/>
  <c r="T35" i="51"/>
  <c r="S35" i="51"/>
  <c r="R35" i="51"/>
  <c r="Q35" i="51"/>
  <c r="P35" i="51"/>
  <c r="O35" i="51"/>
  <c r="F35" i="51"/>
  <c r="E35" i="51"/>
  <c r="Z32" i="51"/>
  <c r="Y32" i="51"/>
  <c r="X32" i="51"/>
  <c r="W32" i="51"/>
  <c r="V32" i="51"/>
  <c r="U32" i="51"/>
  <c r="T32" i="51"/>
  <c r="S32" i="51"/>
  <c r="M32" i="51"/>
  <c r="L32" i="51"/>
  <c r="K32" i="51"/>
  <c r="J32" i="51"/>
  <c r="I32" i="51"/>
  <c r="H32" i="51"/>
  <c r="G32" i="51"/>
  <c r="F32" i="51"/>
  <c r="E32" i="51"/>
  <c r="D32" i="51"/>
  <c r="C32" i="51"/>
  <c r="Z31" i="51"/>
  <c r="Y31" i="51"/>
  <c r="X31" i="51"/>
  <c r="W31" i="51"/>
  <c r="V31" i="51"/>
  <c r="U31" i="51"/>
  <c r="T31" i="51"/>
  <c r="S31" i="51"/>
  <c r="R31" i="51"/>
  <c r="Q31" i="51"/>
  <c r="P31" i="51"/>
  <c r="O31" i="51"/>
  <c r="F31" i="51"/>
  <c r="E31" i="51"/>
  <c r="D31" i="51"/>
  <c r="C31" i="51"/>
  <c r="V29" i="51"/>
  <c r="U29" i="51"/>
  <c r="T29" i="51"/>
  <c r="S29" i="51"/>
  <c r="H29" i="51"/>
  <c r="G29" i="51"/>
  <c r="F29" i="51"/>
  <c r="E29" i="51"/>
  <c r="D29" i="51"/>
  <c r="V28" i="51"/>
  <c r="U28" i="51"/>
  <c r="T28" i="51"/>
  <c r="S28" i="51"/>
  <c r="R28" i="51"/>
  <c r="Q28" i="51"/>
  <c r="P28" i="51"/>
  <c r="O28" i="51"/>
  <c r="H28" i="51"/>
  <c r="G28" i="51"/>
  <c r="F28" i="51"/>
  <c r="E28" i="51"/>
  <c r="D28" i="51"/>
  <c r="C25" i="51"/>
  <c r="D24" i="51"/>
  <c r="C24" i="51"/>
  <c r="Z23" i="51"/>
  <c r="Y23" i="51"/>
  <c r="X23" i="51"/>
  <c r="W23" i="51"/>
  <c r="V23" i="51"/>
  <c r="U23" i="51"/>
  <c r="T23" i="51"/>
  <c r="S23" i="51"/>
  <c r="R23" i="51"/>
  <c r="Q23" i="51"/>
  <c r="P23" i="51"/>
  <c r="O23" i="51"/>
  <c r="F23" i="51"/>
  <c r="E23" i="51"/>
  <c r="C21" i="51"/>
  <c r="D21" i="51" s="1"/>
  <c r="Z20" i="51"/>
  <c r="Y20" i="51"/>
  <c r="X20" i="51"/>
  <c r="W20" i="51"/>
  <c r="V20" i="51"/>
  <c r="U20" i="51"/>
  <c r="T20" i="51"/>
  <c r="S20" i="51"/>
  <c r="R20" i="51"/>
  <c r="Q20" i="51"/>
  <c r="P20" i="51"/>
  <c r="O20" i="51"/>
  <c r="N20" i="51"/>
  <c r="M20" i="51"/>
  <c r="L20" i="51"/>
  <c r="K20" i="51"/>
  <c r="J20" i="51"/>
  <c r="F20" i="51"/>
  <c r="E20" i="51"/>
  <c r="Z19" i="51"/>
  <c r="Y19" i="5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F19" i="51"/>
  <c r="E19" i="51"/>
  <c r="C18" i="51"/>
  <c r="C48" i="51" s="1"/>
  <c r="Z17" i="51"/>
  <c r="Y17" i="51"/>
  <c r="X17" i="51"/>
  <c r="W17" i="51"/>
  <c r="V17" i="51"/>
  <c r="U17" i="51"/>
  <c r="T17" i="51"/>
  <c r="S17" i="51"/>
  <c r="H17" i="51"/>
  <c r="G17" i="51"/>
  <c r="F17" i="51"/>
  <c r="E17" i="51"/>
  <c r="A11" i="51"/>
  <c r="K10" i="51"/>
  <c r="O10" i="51" s="1"/>
  <c r="S10" i="51" s="1"/>
  <c r="W10" i="51" s="1"/>
  <c r="G10" i="51"/>
  <c r="B4" i="51"/>
  <c r="B4" i="52" s="1"/>
  <c r="E8" i="48" s="1"/>
  <c r="C39" i="50"/>
  <c r="C25" i="50" s="1"/>
  <c r="Z35" i="50"/>
  <c r="Y35" i="50"/>
  <c r="X35" i="50"/>
  <c r="W35" i="50"/>
  <c r="V35" i="50"/>
  <c r="U35" i="50"/>
  <c r="T35" i="50"/>
  <c r="S35" i="50"/>
  <c r="R35" i="50"/>
  <c r="Q35" i="50"/>
  <c r="P35" i="50"/>
  <c r="O35" i="50"/>
  <c r="N35" i="50"/>
  <c r="M35" i="50"/>
  <c r="Z32" i="50"/>
  <c r="Y32" i="50"/>
  <c r="X32" i="50"/>
  <c r="W32" i="50"/>
  <c r="V32" i="50"/>
  <c r="U32" i="50"/>
  <c r="T32" i="50"/>
  <c r="S32" i="50"/>
  <c r="R32" i="50"/>
  <c r="Q32" i="50"/>
  <c r="J32" i="50"/>
  <c r="I32" i="50"/>
  <c r="H32" i="50"/>
  <c r="G32" i="50"/>
  <c r="F32" i="50"/>
  <c r="E32" i="50"/>
  <c r="D32" i="50"/>
  <c r="C32" i="50"/>
  <c r="Z31" i="50"/>
  <c r="Y31" i="50"/>
  <c r="X31" i="50"/>
  <c r="W31" i="50"/>
  <c r="V31" i="50"/>
  <c r="U31" i="50"/>
  <c r="T31" i="50"/>
  <c r="S31" i="50"/>
  <c r="R31" i="50"/>
  <c r="Q31" i="50"/>
  <c r="P31" i="50"/>
  <c r="O31" i="50"/>
  <c r="N31" i="50"/>
  <c r="M31" i="50"/>
  <c r="D31" i="50"/>
  <c r="D26" i="49" s="1"/>
  <c r="C31" i="50"/>
  <c r="C26" i="49" s="1"/>
  <c r="V29" i="50"/>
  <c r="U29" i="50"/>
  <c r="T29" i="50"/>
  <c r="S29" i="50"/>
  <c r="R29" i="50"/>
  <c r="Q29" i="50"/>
  <c r="F29" i="50"/>
  <c r="E29" i="50"/>
  <c r="D29" i="50"/>
  <c r="V28" i="50"/>
  <c r="U28" i="50"/>
  <c r="T28" i="50"/>
  <c r="S28" i="50"/>
  <c r="R28" i="50"/>
  <c r="Q28" i="50"/>
  <c r="P28" i="50"/>
  <c r="O28" i="50"/>
  <c r="N28" i="50"/>
  <c r="M28" i="50"/>
  <c r="F28" i="50"/>
  <c r="E28" i="50"/>
  <c r="D28" i="50"/>
  <c r="D23" i="49" s="1"/>
  <c r="Z23" i="50"/>
  <c r="Y23" i="50"/>
  <c r="X23" i="50"/>
  <c r="W23" i="50"/>
  <c r="V23" i="50"/>
  <c r="U23" i="50"/>
  <c r="T23" i="50"/>
  <c r="S23" i="50"/>
  <c r="R23" i="50"/>
  <c r="Q23" i="50"/>
  <c r="P23" i="50"/>
  <c r="O23" i="50"/>
  <c r="N23" i="50"/>
  <c r="M23" i="50"/>
  <c r="E23" i="50"/>
  <c r="D21" i="50"/>
  <c r="C21" i="50"/>
  <c r="Z20" i="50"/>
  <c r="Y20" i="50"/>
  <c r="X20" i="50"/>
  <c r="W20" i="50"/>
  <c r="V20" i="50"/>
  <c r="U20" i="50"/>
  <c r="T20" i="50"/>
  <c r="S20" i="50"/>
  <c r="R20" i="50"/>
  <c r="Q20" i="50"/>
  <c r="P20" i="50"/>
  <c r="O20" i="50"/>
  <c r="N20" i="50"/>
  <c r="M20" i="50"/>
  <c r="L20" i="50"/>
  <c r="K20" i="50"/>
  <c r="E20" i="50"/>
  <c r="Z19" i="50"/>
  <c r="Y19" i="50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C18" i="50"/>
  <c r="Z17" i="50"/>
  <c r="Y17" i="50"/>
  <c r="X17" i="50"/>
  <c r="W17" i="50"/>
  <c r="E31" i="50"/>
  <c r="A11" i="50"/>
  <c r="O10" i="50"/>
  <c r="S10" i="50" s="1"/>
  <c r="W10" i="50" s="1"/>
  <c r="K10" i="50"/>
  <c r="G10" i="50"/>
  <c r="B72" i="49"/>
  <c r="D64" i="49"/>
  <c r="C64" i="49"/>
  <c r="C63" i="49"/>
  <c r="C80" i="49" s="1"/>
  <c r="C57" i="49"/>
  <c r="C53" i="49"/>
  <c r="G53" i="49" s="1"/>
  <c r="K53" i="49" s="1"/>
  <c r="O53" i="49" s="1"/>
  <c r="S53" i="49" s="1"/>
  <c r="W53" i="49" s="1"/>
  <c r="C24" i="49"/>
  <c r="C23" i="49"/>
  <c r="D22" i="49"/>
  <c r="D59" i="49" s="1"/>
  <c r="C22" i="49"/>
  <c r="C59" i="49" s="1"/>
  <c r="D21" i="49"/>
  <c r="D58" i="49" s="1"/>
  <c r="C21" i="49"/>
  <c r="C58" i="49" s="1"/>
  <c r="D18" i="49"/>
  <c r="C18" i="49"/>
  <c r="D16" i="49"/>
  <c r="C16" i="49"/>
  <c r="D15" i="49"/>
  <c r="D62" i="49" s="1"/>
  <c r="C15" i="49"/>
  <c r="C62" i="49" s="1"/>
  <c r="D14" i="49"/>
  <c r="D61" i="49" s="1"/>
  <c r="C14" i="49"/>
  <c r="C61" i="49" s="1"/>
  <c r="D7" i="49"/>
  <c r="E7" i="49" s="1"/>
  <c r="F7" i="49" s="1"/>
  <c r="G7" i="49" s="1"/>
  <c r="H7" i="49" s="1"/>
  <c r="I7" i="49" s="1"/>
  <c r="J7" i="49" s="1"/>
  <c r="K7" i="49" s="1"/>
  <c r="L7" i="49" s="1"/>
  <c r="M7" i="49" s="1"/>
  <c r="N7" i="49" s="1"/>
  <c r="O7" i="49" s="1"/>
  <c r="P7" i="49" s="1"/>
  <c r="Q7" i="49" s="1"/>
  <c r="R7" i="49" s="1"/>
  <c r="K5" i="49"/>
  <c r="O5" i="49" s="1"/>
  <c r="S5" i="49" s="1"/>
  <c r="W5" i="49" s="1"/>
  <c r="G5" i="49"/>
  <c r="D13" i="48"/>
  <c r="B8" i="51" s="1"/>
  <c r="E11" i="48"/>
  <c r="F11" i="48" s="1"/>
  <c r="C8" i="48"/>
  <c r="C33" i="52" l="1"/>
  <c r="D8" i="48"/>
  <c r="U26" i="49"/>
  <c r="V23" i="49"/>
  <c r="Y26" i="49"/>
  <c r="E27" i="49"/>
  <c r="I27" i="49"/>
  <c r="Z27" i="49"/>
  <c r="X30" i="49"/>
  <c r="E26" i="49"/>
  <c r="Y27" i="49"/>
  <c r="S30" i="49"/>
  <c r="W30" i="49"/>
  <c r="C16" i="50"/>
  <c r="Q15" i="49"/>
  <c r="Q62" i="49" s="1"/>
  <c r="U15" i="49"/>
  <c r="U62" i="49" s="1"/>
  <c r="Y15" i="49"/>
  <c r="Y62" i="49" s="1"/>
  <c r="Z26" i="49"/>
  <c r="U30" i="49"/>
  <c r="Y30" i="49"/>
  <c r="U18" i="49"/>
  <c r="Y18" i="49"/>
  <c r="X12" i="49"/>
  <c r="O14" i="49"/>
  <c r="O61" i="49" s="1"/>
  <c r="S14" i="49"/>
  <c r="S61" i="49" s="1"/>
  <c r="W14" i="49"/>
  <c r="W61" i="49" s="1"/>
  <c r="E15" i="49"/>
  <c r="E62" i="49" s="1"/>
  <c r="N15" i="49"/>
  <c r="N62" i="49" s="1"/>
  <c r="V15" i="49"/>
  <c r="V62" i="49" s="1"/>
  <c r="Z15" i="49"/>
  <c r="Z62" i="49" s="1"/>
  <c r="F23" i="49"/>
  <c r="T23" i="49"/>
  <c r="E24" i="49"/>
  <c r="S26" i="49"/>
  <c r="W26" i="49"/>
  <c r="C27" i="49"/>
  <c r="C28" i="49" s="1"/>
  <c r="G27" i="49"/>
  <c r="G12" i="49"/>
  <c r="Z12" i="49"/>
  <c r="Q14" i="49"/>
  <c r="Q61" i="49" s="1"/>
  <c r="U14" i="49"/>
  <c r="U61" i="49" s="1"/>
  <c r="Y14" i="49"/>
  <c r="Y61" i="49" s="1"/>
  <c r="W27" i="49"/>
  <c r="H27" i="49"/>
  <c r="U23" i="49"/>
  <c r="T26" i="49"/>
  <c r="X26" i="49"/>
  <c r="D27" i="49"/>
  <c r="S18" i="49"/>
  <c r="W18" i="49"/>
  <c r="X27" i="49"/>
  <c r="V30" i="49"/>
  <c r="Y12" i="49"/>
  <c r="G24" i="53"/>
  <c r="P15" i="49"/>
  <c r="P62" i="49" s="1"/>
  <c r="T15" i="49"/>
  <c r="T62" i="49" s="1"/>
  <c r="X15" i="49"/>
  <c r="X62" i="49" s="1"/>
  <c r="E18" i="49"/>
  <c r="Z30" i="49"/>
  <c r="W12" i="49"/>
  <c r="R15" i="49"/>
  <c r="R62" i="49" s="1"/>
  <c r="V18" i="49"/>
  <c r="C13" i="49"/>
  <c r="C11" i="49" s="1"/>
  <c r="C16" i="52"/>
  <c r="C22" i="51"/>
  <c r="P14" i="49"/>
  <c r="P61" i="49" s="1"/>
  <c r="T14" i="49"/>
  <c r="T61" i="49" s="1"/>
  <c r="X14" i="49"/>
  <c r="X61" i="49" s="1"/>
  <c r="D24" i="49"/>
  <c r="V26" i="49"/>
  <c r="T30" i="49"/>
  <c r="N14" i="49"/>
  <c r="N61" i="49" s="1"/>
  <c r="V14" i="49"/>
  <c r="V61" i="49" s="1"/>
  <c r="E23" i="49"/>
  <c r="S23" i="49"/>
  <c r="F27" i="49"/>
  <c r="J27" i="49"/>
  <c r="R14" i="49"/>
  <c r="R61" i="49" s="1"/>
  <c r="Z14" i="49"/>
  <c r="Z61" i="49" s="1"/>
  <c r="Z18" i="49"/>
  <c r="E12" i="49"/>
  <c r="C48" i="50"/>
  <c r="C43" i="49" s="1"/>
  <c r="H24" i="53"/>
  <c r="F12" i="49"/>
  <c r="C22" i="53"/>
  <c r="O15" i="49"/>
  <c r="O62" i="49" s="1"/>
  <c r="S15" i="49"/>
  <c r="S62" i="49" s="1"/>
  <c r="W15" i="49"/>
  <c r="W62" i="49" s="1"/>
  <c r="T18" i="49"/>
  <c r="X18" i="49"/>
  <c r="F24" i="49"/>
  <c r="C33" i="50"/>
  <c r="D33" i="50" s="1"/>
  <c r="E33" i="50" s="1"/>
  <c r="C16" i="53"/>
  <c r="C20" i="49"/>
  <c r="C16" i="51"/>
  <c r="C22" i="52"/>
  <c r="C30" i="52" s="1"/>
  <c r="C34" i="52" s="1"/>
  <c r="W24" i="52"/>
  <c r="D33" i="53"/>
  <c r="E33" i="53" s="1"/>
  <c r="F33" i="53" s="1"/>
  <c r="G33" i="53" s="1"/>
  <c r="H33" i="53" s="1"/>
  <c r="I33" i="53" s="1"/>
  <c r="J33" i="53" s="1"/>
  <c r="D33" i="52"/>
  <c r="E33" i="52" s="1"/>
  <c r="F33" i="52" s="1"/>
  <c r="G33" i="52" s="1"/>
  <c r="H33" i="52" s="1"/>
  <c r="C60" i="49"/>
  <c r="E13" i="48"/>
  <c r="C79" i="49"/>
  <c r="R24" i="50"/>
  <c r="V24" i="50"/>
  <c r="Z24" i="50"/>
  <c r="F31" i="50"/>
  <c r="F26" i="49" s="1"/>
  <c r="C24" i="50"/>
  <c r="S24" i="50"/>
  <c r="W24" i="50"/>
  <c r="G31" i="50"/>
  <c r="D24" i="50"/>
  <c r="T24" i="50"/>
  <c r="X24" i="50"/>
  <c r="E24" i="50"/>
  <c r="Q24" i="50"/>
  <c r="U24" i="50"/>
  <c r="Y24" i="50"/>
  <c r="F24" i="51"/>
  <c r="V24" i="51"/>
  <c r="Z24" i="51"/>
  <c r="B4" i="53"/>
  <c r="G31" i="51"/>
  <c r="S24" i="51"/>
  <c r="W24" i="51"/>
  <c r="H31" i="51"/>
  <c r="T24" i="51"/>
  <c r="X24" i="51"/>
  <c r="C49" i="51"/>
  <c r="E24" i="51"/>
  <c r="U24" i="51"/>
  <c r="Y24" i="51"/>
  <c r="V24" i="52"/>
  <c r="C33" i="51"/>
  <c r="D33" i="51" s="1"/>
  <c r="E33" i="51" s="1"/>
  <c r="F33" i="51" s="1"/>
  <c r="C50" i="52"/>
  <c r="F24" i="52"/>
  <c r="J31" i="52"/>
  <c r="G24" i="52"/>
  <c r="H24" i="52"/>
  <c r="X24" i="52"/>
  <c r="E24" i="52"/>
  <c r="U24" i="52"/>
  <c r="Y24" i="52"/>
  <c r="I31" i="52"/>
  <c r="W24" i="53"/>
  <c r="Z24" i="52"/>
  <c r="C50" i="53"/>
  <c r="X24" i="53"/>
  <c r="K31" i="53"/>
  <c r="L31" i="53"/>
  <c r="E24" i="53"/>
  <c r="I24" i="53"/>
  <c r="Y24" i="53"/>
  <c r="F24" i="53"/>
  <c r="J24" i="53"/>
  <c r="Z24" i="53"/>
  <c r="D9" i="49" l="1"/>
  <c r="C9" i="49"/>
  <c r="C30" i="51"/>
  <c r="C34" i="51" s="1"/>
  <c r="C35" i="51" s="1"/>
  <c r="D28" i="49"/>
  <c r="E28" i="49" s="1"/>
  <c r="F28" i="49" s="1"/>
  <c r="K33" i="53"/>
  <c r="L33" i="53" s="1"/>
  <c r="C30" i="53"/>
  <c r="C34" i="53" s="1"/>
  <c r="C35" i="53" s="1"/>
  <c r="G33" i="51"/>
  <c r="H33" i="51" s="1"/>
  <c r="C51" i="53"/>
  <c r="C22" i="50"/>
  <c r="C19" i="49"/>
  <c r="C36" i="52"/>
  <c r="C35" i="52"/>
  <c r="I33" i="52"/>
  <c r="J33" i="52" s="1"/>
  <c r="C51" i="52"/>
  <c r="F8" i="48"/>
  <c r="E19" i="49"/>
  <c r="C50" i="51"/>
  <c r="C49" i="50"/>
  <c r="F33" i="50"/>
  <c r="G33" i="50" s="1"/>
  <c r="B8" i="52"/>
  <c r="F13" i="48"/>
  <c r="B8" i="53" s="1"/>
  <c r="D19" i="49"/>
  <c r="G26" i="49"/>
  <c r="C81" i="49"/>
  <c r="E9" i="49" l="1"/>
  <c r="C36" i="51"/>
  <c r="C37" i="51" s="1"/>
  <c r="C36" i="53"/>
  <c r="C40" i="53" s="1"/>
  <c r="G28" i="49"/>
  <c r="C82" i="49"/>
  <c r="C37" i="52"/>
  <c r="C51" i="51"/>
  <c r="C17" i="49"/>
  <c r="C52" i="53"/>
  <c r="J20" i="50"/>
  <c r="I20" i="50"/>
  <c r="H20" i="50"/>
  <c r="C44" i="49"/>
  <c r="C50" i="50"/>
  <c r="C52" i="52"/>
  <c r="C40" i="52"/>
  <c r="K32" i="50"/>
  <c r="C30" i="50"/>
  <c r="C34" i="50" s="1"/>
  <c r="C37" i="53" l="1"/>
  <c r="D39" i="53" s="1"/>
  <c r="D25" i="53" s="1"/>
  <c r="F9" i="49"/>
  <c r="C40" i="51"/>
  <c r="C36" i="50"/>
  <c r="C35" i="50"/>
  <c r="K27" i="49"/>
  <c r="C45" i="49"/>
  <c r="D39" i="52"/>
  <c r="D25" i="52" s="1"/>
  <c r="C38" i="52"/>
  <c r="L32" i="50"/>
  <c r="L27" i="49" s="1"/>
  <c r="C53" i="53"/>
  <c r="C52" i="51"/>
  <c r="C83" i="49"/>
  <c r="C53" i="52"/>
  <c r="C25" i="49"/>
  <c r="C29" i="49" s="1"/>
  <c r="C38" i="51"/>
  <c r="D39" i="51"/>
  <c r="D25" i="51" s="1"/>
  <c r="C51" i="50"/>
  <c r="C38" i="53" l="1"/>
  <c r="G9" i="49"/>
  <c r="C40" i="50"/>
  <c r="D49" i="51"/>
  <c r="D22" i="51"/>
  <c r="D49" i="53"/>
  <c r="D22" i="53"/>
  <c r="C53" i="51"/>
  <c r="C46" i="49"/>
  <c r="C31" i="49"/>
  <c r="C52" i="50"/>
  <c r="C41" i="52"/>
  <c r="C54" i="52"/>
  <c r="C41" i="53"/>
  <c r="C54" i="53"/>
  <c r="D49" i="52"/>
  <c r="D22" i="52"/>
  <c r="C84" i="49"/>
  <c r="C37" i="50"/>
  <c r="C30" i="49"/>
  <c r="C70" i="49" l="1"/>
  <c r="C85" i="49"/>
  <c r="C55" i="53"/>
  <c r="C55" i="52"/>
  <c r="D39" i="50"/>
  <c r="D25" i="50" s="1"/>
  <c r="C38" i="50"/>
  <c r="C33" i="49" s="1"/>
  <c r="C32" i="49"/>
  <c r="C45" i="53"/>
  <c r="C42" i="53"/>
  <c r="C45" i="52"/>
  <c r="C42" i="52"/>
  <c r="C41" i="51"/>
  <c r="C54" i="51"/>
  <c r="C35" i="49"/>
  <c r="C53" i="50"/>
  <c r="C47" i="49"/>
  <c r="D49" i="50" l="1"/>
  <c r="D20" i="49"/>
  <c r="D22" i="50"/>
  <c r="C41" i="50"/>
  <c r="C48" i="49"/>
  <c r="C54" i="50"/>
  <c r="C45" i="51"/>
  <c r="C42" i="51"/>
  <c r="C43" i="52"/>
  <c r="C44" i="52" s="1"/>
  <c r="C43" i="53"/>
  <c r="C44" i="53" s="1"/>
  <c r="C86" i="49"/>
  <c r="C75" i="49"/>
  <c r="C55" i="51"/>
  <c r="D17" i="49" l="1"/>
  <c r="C36" i="49"/>
  <c r="C45" i="50"/>
  <c r="C42" i="50"/>
  <c r="C44" i="50" s="1"/>
  <c r="D18" i="53"/>
  <c r="D18" i="52"/>
  <c r="C43" i="51"/>
  <c r="C55" i="50"/>
  <c r="C49" i="49"/>
  <c r="D44" i="49"/>
  <c r="D48" i="53" l="1"/>
  <c r="D16" i="53"/>
  <c r="D18" i="50"/>
  <c r="C38" i="49"/>
  <c r="D48" i="52"/>
  <c r="D16" i="52"/>
  <c r="C50" i="49"/>
  <c r="C44" i="51"/>
  <c r="C40" i="49"/>
  <c r="C37" i="49"/>
  <c r="C39" i="49" l="1"/>
  <c r="D18" i="51"/>
  <c r="C56" i="49"/>
  <c r="D30" i="52"/>
  <c r="D34" i="52" s="1"/>
  <c r="D48" i="50"/>
  <c r="D16" i="50"/>
  <c r="D30" i="53"/>
  <c r="D34" i="53" s="1"/>
  <c r="D50" i="52"/>
  <c r="D50" i="53"/>
  <c r="D30" i="50" l="1"/>
  <c r="D34" i="50" s="1"/>
  <c r="C55" i="49"/>
  <c r="D36" i="53"/>
  <c r="D35" i="53"/>
  <c r="D50" i="50"/>
  <c r="D36" i="52"/>
  <c r="D35" i="52"/>
  <c r="D51" i="53"/>
  <c r="D48" i="51"/>
  <c r="D43" i="49" s="1"/>
  <c r="D16" i="51"/>
  <c r="D51" i="52"/>
  <c r="D13" i="49"/>
  <c r="D40" i="52" l="1"/>
  <c r="D45" i="49"/>
  <c r="D52" i="52"/>
  <c r="D11" i="49"/>
  <c r="D40" i="53"/>
  <c r="D36" i="50"/>
  <c r="D35" i="50"/>
  <c r="D30" i="51"/>
  <c r="D34" i="51" s="1"/>
  <c r="D50" i="51"/>
  <c r="D52" i="53"/>
  <c r="D51" i="50"/>
  <c r="C76" i="49"/>
  <c r="C74" i="49"/>
  <c r="C65" i="49"/>
  <c r="D37" i="52"/>
  <c r="D37" i="53"/>
  <c r="D40" i="50" l="1"/>
  <c r="D38" i="52"/>
  <c r="E39" i="52"/>
  <c r="E25" i="52" s="1"/>
  <c r="E26" i="52"/>
  <c r="C66" i="49"/>
  <c r="C67" i="49"/>
  <c r="D35" i="51"/>
  <c r="D30" i="49" s="1"/>
  <c r="D36" i="51"/>
  <c r="D53" i="53"/>
  <c r="D25" i="49"/>
  <c r="D29" i="49" s="1"/>
  <c r="D38" i="53"/>
  <c r="E39" i="53"/>
  <c r="E25" i="53" s="1"/>
  <c r="E26" i="53"/>
  <c r="D52" i="50"/>
  <c r="D51" i="51"/>
  <c r="D37" i="50"/>
  <c r="D53" i="52"/>
  <c r="D46" i="49"/>
  <c r="D40" i="51" l="1"/>
  <c r="C69" i="49"/>
  <c r="C71" i="49" s="1"/>
  <c r="C73" i="49" s="1"/>
  <c r="D57" i="49" s="1"/>
  <c r="D41" i="52"/>
  <c r="D54" i="52"/>
  <c r="D52" i="51"/>
  <c r="D53" i="50"/>
  <c r="D41" i="53"/>
  <c r="D54" i="53"/>
  <c r="C68" i="49"/>
  <c r="E27" i="53"/>
  <c r="E49" i="53" s="1"/>
  <c r="E21" i="53"/>
  <c r="D37" i="51"/>
  <c r="D32" i="49" s="1"/>
  <c r="E27" i="52"/>
  <c r="E49" i="52" s="1"/>
  <c r="E21" i="52"/>
  <c r="D38" i="50"/>
  <c r="E39" i="50"/>
  <c r="E25" i="50" s="1"/>
  <c r="E26" i="50"/>
  <c r="D31" i="49"/>
  <c r="E22" i="53" l="1"/>
  <c r="E27" i="50"/>
  <c r="E21" i="50"/>
  <c r="D45" i="53"/>
  <c r="D42" i="53"/>
  <c r="D45" i="52"/>
  <c r="D42" i="52"/>
  <c r="E22" i="52"/>
  <c r="D53" i="51"/>
  <c r="D48" i="49" s="1"/>
  <c r="D55" i="53"/>
  <c r="D47" i="49"/>
  <c r="D55" i="52"/>
  <c r="D79" i="49"/>
  <c r="E39" i="51"/>
  <c r="E25" i="51" s="1"/>
  <c r="D38" i="51"/>
  <c r="D33" i="49" s="1"/>
  <c r="E26" i="51"/>
  <c r="D63" i="49"/>
  <c r="D35" i="49"/>
  <c r="D41" i="50"/>
  <c r="D54" i="50"/>
  <c r="D55" i="50" l="1"/>
  <c r="E27" i="51"/>
  <c r="E49" i="51" s="1"/>
  <c r="E21" i="51"/>
  <c r="E16" i="49" s="1"/>
  <c r="D43" i="53"/>
  <c r="D41" i="51"/>
  <c r="D54" i="51"/>
  <c r="D43" i="52"/>
  <c r="D44" i="52" s="1"/>
  <c r="E22" i="50"/>
  <c r="E19" i="50" s="1"/>
  <c r="E14" i="49" s="1"/>
  <c r="E61" i="49" s="1"/>
  <c r="D80" i="49"/>
  <c r="D81" i="49" s="1"/>
  <c r="D60" i="49"/>
  <c r="D45" i="50"/>
  <c r="D42" i="50"/>
  <c r="D44" i="50" s="1"/>
  <c r="E49" i="50"/>
  <c r="E21" i="49"/>
  <c r="E20" i="49"/>
  <c r="E22" i="49" l="1"/>
  <c r="E17" i="49" s="1"/>
  <c r="D82" i="49"/>
  <c r="E18" i="50"/>
  <c r="D45" i="51"/>
  <c r="D42" i="51"/>
  <c r="E58" i="49"/>
  <c r="E18" i="52"/>
  <c r="D55" i="51"/>
  <c r="E44" i="49"/>
  <c r="D36" i="49"/>
  <c r="E22" i="51"/>
  <c r="D44" i="53"/>
  <c r="D49" i="49"/>
  <c r="E59" i="49" l="1"/>
  <c r="E16" i="50"/>
  <c r="E48" i="50"/>
  <c r="D83" i="49"/>
  <c r="E16" i="52"/>
  <c r="E48" i="52"/>
  <c r="D40" i="49"/>
  <c r="D37" i="49"/>
  <c r="E18" i="53"/>
  <c r="D50" i="49"/>
  <c r="D43" i="51"/>
  <c r="D44" i="51" s="1"/>
  <c r="E50" i="52" l="1"/>
  <c r="D84" i="49"/>
  <c r="E30" i="52"/>
  <c r="E34" i="52" s="1"/>
  <c r="E18" i="51"/>
  <c r="E16" i="53"/>
  <c r="E48" i="53"/>
  <c r="D38" i="49"/>
  <c r="D39" i="49" s="1"/>
  <c r="E50" i="50"/>
  <c r="E30" i="50"/>
  <c r="E34" i="50" s="1"/>
  <c r="E35" i="50" s="1"/>
  <c r="E30" i="49" s="1"/>
  <c r="E30" i="53" l="1"/>
  <c r="E34" i="53" s="1"/>
  <c r="E36" i="50"/>
  <c r="E40" i="50" s="1"/>
  <c r="D56" i="49"/>
  <c r="E16" i="51"/>
  <c r="E48" i="51"/>
  <c r="E13" i="49"/>
  <c r="D70" i="49"/>
  <c r="D85" i="49"/>
  <c r="E51" i="50"/>
  <c r="E50" i="53"/>
  <c r="E36" i="52"/>
  <c r="E40" i="52" s="1"/>
  <c r="E51" i="52"/>
  <c r="E11" i="49" l="1"/>
  <c r="E36" i="53"/>
  <c r="E51" i="53"/>
  <c r="D55" i="49"/>
  <c r="D86" i="49"/>
  <c r="E37" i="52"/>
  <c r="E52" i="50"/>
  <c r="E50" i="51"/>
  <c r="E43" i="49"/>
  <c r="E37" i="50"/>
  <c r="E52" i="52"/>
  <c r="D75" i="49"/>
  <c r="E30" i="51"/>
  <c r="E34" i="51" s="1"/>
  <c r="E53" i="52" l="1"/>
  <c r="D76" i="49"/>
  <c r="D74" i="49"/>
  <c r="D65" i="49"/>
  <c r="E37" i="53"/>
  <c r="E51" i="51"/>
  <c r="E52" i="53"/>
  <c r="E40" i="53"/>
  <c r="E45" i="49"/>
  <c r="E53" i="50"/>
  <c r="E36" i="51"/>
  <c r="F39" i="50"/>
  <c r="F25" i="50" s="1"/>
  <c r="E38" i="50"/>
  <c r="F26" i="50"/>
  <c r="F39" i="52"/>
  <c r="F25" i="52" s="1"/>
  <c r="E38" i="52"/>
  <c r="F26" i="52"/>
  <c r="E25" i="49"/>
  <c r="E29" i="49" s="1"/>
  <c r="F39" i="53" l="1"/>
  <c r="F25" i="53" s="1"/>
  <c r="E38" i="53"/>
  <c r="F26" i="53"/>
  <c r="E37" i="51"/>
  <c r="E31" i="49"/>
  <c r="E35" i="49" s="1"/>
  <c r="E41" i="50"/>
  <c r="E54" i="50"/>
  <c r="E52" i="51"/>
  <c r="F27" i="52"/>
  <c r="F21" i="52"/>
  <c r="E40" i="51"/>
  <c r="D67" i="49"/>
  <c r="D66" i="49"/>
  <c r="F27" i="50"/>
  <c r="E46" i="49"/>
  <c r="E53" i="53"/>
  <c r="E41" i="52"/>
  <c r="E54" i="52"/>
  <c r="D69" i="49" l="1"/>
  <c r="D71" i="49" s="1"/>
  <c r="D73" i="49" s="1"/>
  <c r="E57" i="49" s="1"/>
  <c r="F39" i="51"/>
  <c r="F25" i="51" s="1"/>
  <c r="E38" i="51"/>
  <c r="E33" i="49" s="1"/>
  <c r="F26" i="51"/>
  <c r="E32" i="49"/>
  <c r="F27" i="53"/>
  <c r="F22" i="53" s="1"/>
  <c r="F21" i="53"/>
  <c r="E53" i="51"/>
  <c r="E47" i="49"/>
  <c r="E45" i="52"/>
  <c r="E42" i="52"/>
  <c r="E45" i="50"/>
  <c r="E42" i="50"/>
  <c r="E44" i="50" s="1"/>
  <c r="F22" i="52"/>
  <c r="E55" i="52"/>
  <c r="E41" i="53"/>
  <c r="E54" i="53"/>
  <c r="D68" i="49"/>
  <c r="E55" i="50"/>
  <c r="F49" i="52"/>
  <c r="F49" i="53" l="1"/>
  <c r="F20" i="49"/>
  <c r="F18" i="50"/>
  <c r="E43" i="52"/>
  <c r="E41" i="51"/>
  <c r="E54" i="51"/>
  <c r="E48" i="49"/>
  <c r="E45" i="53"/>
  <c r="E42" i="53"/>
  <c r="E55" i="53"/>
  <c r="E79" i="49"/>
  <c r="E63" i="49"/>
  <c r="F27" i="51"/>
  <c r="F22" i="51" s="1"/>
  <c r="F21" i="51"/>
  <c r="F21" i="49"/>
  <c r="E45" i="51" l="1"/>
  <c r="E36" i="49"/>
  <c r="E42" i="51"/>
  <c r="E43" i="53"/>
  <c r="E55" i="51"/>
  <c r="E49" i="49"/>
  <c r="E44" i="52"/>
  <c r="F22" i="49"/>
  <c r="F58" i="49"/>
  <c r="E80" i="49"/>
  <c r="F48" i="50"/>
  <c r="F49" i="51"/>
  <c r="F18" i="52" l="1"/>
  <c r="E44" i="53"/>
  <c r="F59" i="49"/>
  <c r="E50" i="49"/>
  <c r="E43" i="51"/>
  <c r="E40" i="49"/>
  <c r="E37" i="49"/>
  <c r="E81" i="49"/>
  <c r="F48" i="52" l="1"/>
  <c r="F16" i="52"/>
  <c r="E38" i="49"/>
  <c r="E44" i="51"/>
  <c r="E82" i="49"/>
  <c r="F18" i="53"/>
  <c r="F16" i="53" l="1"/>
  <c r="F48" i="53"/>
  <c r="E83" i="49"/>
  <c r="F50" i="52"/>
  <c r="E56" i="49"/>
  <c r="E39" i="49"/>
  <c r="F18" i="51"/>
  <c r="F30" i="52"/>
  <c r="F34" i="52" s="1"/>
  <c r="F16" i="51" l="1"/>
  <c r="F48" i="51"/>
  <c r="F13" i="49"/>
  <c r="F51" i="52"/>
  <c r="F36" i="52"/>
  <c r="F37" i="52" s="1"/>
  <c r="F30" i="53"/>
  <c r="F34" i="53" s="1"/>
  <c r="E55" i="49"/>
  <c r="E84" i="49"/>
  <c r="F50" i="53"/>
  <c r="F40" i="52" l="1"/>
  <c r="E76" i="49"/>
  <c r="F50" i="51"/>
  <c r="F43" i="49"/>
  <c r="F51" i="53"/>
  <c r="F30" i="51"/>
  <c r="F34" i="51" s="1"/>
  <c r="F36" i="53"/>
  <c r="F37" i="53" s="1"/>
  <c r="E70" i="49"/>
  <c r="E85" i="49"/>
  <c r="G39" i="52"/>
  <c r="G25" i="52" s="1"/>
  <c r="F38" i="52"/>
  <c r="G26" i="52"/>
  <c r="F52" i="52"/>
  <c r="F40" i="53" l="1"/>
  <c r="E86" i="49"/>
  <c r="F53" i="52"/>
  <c r="F36" i="51"/>
  <c r="F52" i="53"/>
  <c r="G27" i="52"/>
  <c r="G21" i="52"/>
  <c r="G39" i="53"/>
  <c r="G25" i="53" s="1"/>
  <c r="F38" i="53"/>
  <c r="G26" i="53"/>
  <c r="F51" i="51"/>
  <c r="F53" i="53" l="1"/>
  <c r="F52" i="51"/>
  <c r="F37" i="51"/>
  <c r="G22" i="52"/>
  <c r="G27" i="53"/>
  <c r="G22" i="53" s="1"/>
  <c r="G21" i="53"/>
  <c r="F40" i="51"/>
  <c r="F41" i="52"/>
  <c r="F54" i="52"/>
  <c r="G49" i="52"/>
  <c r="G49" i="53" l="1"/>
  <c r="F41" i="53"/>
  <c r="F54" i="53"/>
  <c r="F45" i="52"/>
  <c r="F42" i="52"/>
  <c r="F55" i="52"/>
  <c r="G39" i="51"/>
  <c r="G25" i="51" s="1"/>
  <c r="F38" i="51"/>
  <c r="G26" i="51"/>
  <c r="F53" i="51"/>
  <c r="F41" i="51" l="1"/>
  <c r="F54" i="51"/>
  <c r="F45" i="53"/>
  <c r="F42" i="53"/>
  <c r="G27" i="51"/>
  <c r="F55" i="53"/>
  <c r="F43" i="52"/>
  <c r="F44" i="52" s="1"/>
  <c r="G18" i="52" l="1"/>
  <c r="F55" i="51"/>
  <c r="F45" i="51"/>
  <c r="F42" i="51"/>
  <c r="F43" i="53"/>
  <c r="F44" i="53" s="1"/>
  <c r="G18" i="53" l="1"/>
  <c r="G16" i="52"/>
  <c r="G48" i="52"/>
  <c r="F43" i="51"/>
  <c r="F38" i="49" l="1"/>
  <c r="G16" i="53"/>
  <c r="G48" i="53"/>
  <c r="G50" i="52"/>
  <c r="G30" i="52"/>
  <c r="G34" i="52" s="1"/>
  <c r="F44" i="51"/>
  <c r="G36" i="52" l="1"/>
  <c r="G37" i="52" s="1"/>
  <c r="G18" i="51"/>
  <c r="G50" i="53"/>
  <c r="G51" i="52"/>
  <c r="G30" i="53"/>
  <c r="G34" i="53" s="1"/>
  <c r="F56" i="49"/>
  <c r="G48" i="51" l="1"/>
  <c r="H39" i="52"/>
  <c r="H25" i="52" s="1"/>
  <c r="G38" i="52"/>
  <c r="H26" i="52"/>
  <c r="G36" i="53"/>
  <c r="G37" i="53" s="1"/>
  <c r="G52" i="52"/>
  <c r="G40" i="52"/>
  <c r="G51" i="53"/>
  <c r="H27" i="52" l="1"/>
  <c r="H49" i="52" s="1"/>
  <c r="H21" i="52"/>
  <c r="G40" i="53"/>
  <c r="G53" i="52"/>
  <c r="G52" i="53"/>
  <c r="H39" i="53"/>
  <c r="H25" i="53" s="1"/>
  <c r="G38" i="53"/>
  <c r="H26" i="53"/>
  <c r="H27" i="53" l="1"/>
  <c r="H22" i="53" s="1"/>
  <c r="H21" i="53"/>
  <c r="G41" i="52"/>
  <c r="G54" i="52"/>
  <c r="H22" i="52"/>
  <c r="G53" i="53"/>
  <c r="G55" i="52" l="1"/>
  <c r="H49" i="53"/>
  <c r="G41" i="53"/>
  <c r="G54" i="53"/>
  <c r="G45" i="52"/>
  <c r="G42" i="52"/>
  <c r="G45" i="53" l="1"/>
  <c r="G42" i="53"/>
  <c r="G55" i="53"/>
  <c r="G43" i="52"/>
  <c r="G44" i="52" s="1"/>
  <c r="H18" i="52" l="1"/>
  <c r="G43" i="53"/>
  <c r="G44" i="53" s="1"/>
  <c r="H18" i="53" l="1"/>
  <c r="H16" i="52"/>
  <c r="H48" i="52"/>
  <c r="H50" i="52" s="1"/>
  <c r="H51" i="52" l="1"/>
  <c r="H30" i="52"/>
  <c r="H34" i="52" s="1"/>
  <c r="H48" i="53"/>
  <c r="H50" i="53" s="1"/>
  <c r="H16" i="53"/>
  <c r="H52" i="52" l="1"/>
  <c r="H53" i="52" s="1"/>
  <c r="H51" i="53"/>
  <c r="H30" i="53"/>
  <c r="H34" i="53" s="1"/>
  <c r="H36" i="52"/>
  <c r="H37" i="52" s="1"/>
  <c r="H40" i="52" l="1"/>
  <c r="H36" i="53"/>
  <c r="H37" i="53" s="1"/>
  <c r="H52" i="53"/>
  <c r="H53" i="53" s="1"/>
  <c r="H41" i="52"/>
  <c r="H45" i="52" s="1"/>
  <c r="H54" i="52"/>
  <c r="H55" i="52" s="1"/>
  <c r="H38" i="52"/>
  <c r="I39" i="52"/>
  <c r="I25" i="52" s="1"/>
  <c r="I26" i="52"/>
  <c r="H38" i="53" l="1"/>
  <c r="I39" i="53"/>
  <c r="I25" i="53" s="1"/>
  <c r="I26" i="53"/>
  <c r="H40" i="53"/>
  <c r="I27" i="52"/>
  <c r="H42" i="52"/>
  <c r="H41" i="53"/>
  <c r="H45" i="53" s="1"/>
  <c r="H54" i="53"/>
  <c r="H55" i="53" s="1"/>
  <c r="I27" i="53" l="1"/>
  <c r="I49" i="53" s="1"/>
  <c r="I21" i="53"/>
  <c r="H43" i="52"/>
  <c r="H44" i="52" s="1"/>
  <c r="H42" i="53"/>
  <c r="I18" i="52" l="1"/>
  <c r="H43" i="53"/>
  <c r="H44" i="53" s="1"/>
  <c r="I22" i="53"/>
  <c r="I18" i="53" l="1"/>
  <c r="I48" i="52"/>
  <c r="I16" i="53" l="1"/>
  <c r="I48" i="53"/>
  <c r="I50" i="53" s="1"/>
  <c r="I51" i="53" l="1"/>
  <c r="I30" i="53"/>
  <c r="I34" i="53" s="1"/>
  <c r="I52" i="53" l="1"/>
  <c r="I53" i="53" s="1"/>
  <c r="I36" i="53"/>
  <c r="I37" i="53" s="1"/>
  <c r="I40" i="53" l="1"/>
  <c r="J39" i="53"/>
  <c r="J25" i="53" s="1"/>
  <c r="I38" i="53"/>
  <c r="J26" i="53"/>
  <c r="I41" i="53"/>
  <c r="I45" i="53" s="1"/>
  <c r="I54" i="53"/>
  <c r="I55" i="53" s="1"/>
  <c r="J27" i="53" l="1"/>
  <c r="J49" i="53" s="1"/>
  <c r="J21" i="53"/>
  <c r="I42" i="53"/>
  <c r="J22" i="53" l="1"/>
  <c r="I43" i="53"/>
  <c r="I44" i="53" s="1"/>
  <c r="J18" i="53" l="1"/>
  <c r="J16" i="53" l="1"/>
  <c r="J48" i="53"/>
  <c r="J50" i="53" s="1"/>
  <c r="J30" i="53" l="1"/>
  <c r="J34" i="53" s="1"/>
  <c r="J51" i="53"/>
  <c r="J52" i="53" l="1"/>
  <c r="J53" i="53" s="1"/>
  <c r="J36" i="53"/>
  <c r="J37" i="53" s="1"/>
  <c r="J40" i="53" l="1"/>
  <c r="J41" i="53"/>
  <c r="J45" i="53" s="1"/>
  <c r="J54" i="53"/>
  <c r="J55" i="53" s="1"/>
  <c r="K39" i="53"/>
  <c r="K25" i="53" s="1"/>
  <c r="J38" i="53"/>
  <c r="K26" i="53"/>
  <c r="J42" i="53" l="1"/>
  <c r="K27" i="53"/>
  <c r="J43" i="53" l="1"/>
  <c r="J44" i="53" s="1"/>
  <c r="K18" i="53" l="1"/>
  <c r="K48" i="53" l="1"/>
  <c r="V17" i="37" l="1"/>
  <c r="U17" i="37"/>
  <c r="T17" i="37"/>
  <c r="S17" i="37"/>
  <c r="R17" i="37"/>
  <c r="Q17" i="37"/>
  <c r="P17" i="37"/>
  <c r="O17" i="37"/>
  <c r="I17" i="37"/>
  <c r="H17" i="37"/>
  <c r="G17" i="37"/>
  <c r="F17" i="37"/>
  <c r="E17" i="37"/>
  <c r="D17" i="37"/>
  <c r="C17" i="37"/>
  <c r="B6" i="48"/>
  <c r="C24" i="38"/>
  <c r="D24" i="38"/>
  <c r="B6" i="35" l="1"/>
  <c r="D72" i="41"/>
  <c r="D71" i="41"/>
  <c r="E53" i="41" s="1"/>
  <c r="D70" i="41"/>
  <c r="E39" i="41" s="1"/>
  <c r="E40" i="41" l="1"/>
  <c r="E42" i="41"/>
  <c r="E46" i="41"/>
  <c r="E50" i="41"/>
  <c r="E54" i="41"/>
  <c r="E58" i="41"/>
  <c r="E62" i="41"/>
  <c r="E43" i="41"/>
  <c r="E47" i="41"/>
  <c r="E51" i="41"/>
  <c r="E55" i="41"/>
  <c r="E59" i="41"/>
  <c r="E63" i="41"/>
  <c r="E44" i="41"/>
  <c r="E48" i="41"/>
  <c r="E52" i="41"/>
  <c r="E56" i="41"/>
  <c r="E60" i="41"/>
  <c r="E64" i="41"/>
  <c r="E45" i="41"/>
  <c r="E49" i="41"/>
  <c r="E57" i="41"/>
  <c r="E61" i="41"/>
  <c r="E65" i="41"/>
  <c r="E41" i="41" l="1"/>
  <c r="D24" i="40"/>
  <c r="C24" i="40"/>
  <c r="D24" i="39"/>
  <c r="C24" i="39"/>
  <c r="B4" i="38"/>
  <c r="B4" i="39" s="1"/>
  <c r="B4" i="40" s="1"/>
  <c r="J17" i="37" l="1"/>
  <c r="C24" i="47" l="1"/>
  <c r="C23" i="47"/>
  <c r="E28" i="37"/>
  <c r="D7" i="47" l="1"/>
  <c r="E7" i="47" s="1"/>
  <c r="F7" i="47" s="1"/>
  <c r="G7" i="47" s="1"/>
  <c r="H7" i="47" s="1"/>
  <c r="I7" i="47" s="1"/>
  <c r="J7" i="47" s="1"/>
  <c r="K7" i="47" s="1"/>
  <c r="L7" i="47" s="1"/>
  <c r="M7" i="47" s="1"/>
  <c r="N7" i="47" s="1"/>
  <c r="O7" i="47" s="1"/>
  <c r="P7" i="47" s="1"/>
  <c r="Q7" i="47" s="1"/>
  <c r="R7" i="47" s="1"/>
  <c r="B19" i="35" l="1"/>
  <c r="B20" i="35" l="1"/>
  <c r="B20" i="48" s="1"/>
  <c r="B19" i="48"/>
  <c r="D24" i="37"/>
  <c r="C24" i="37"/>
  <c r="L29" i="40"/>
  <c r="K29" i="40"/>
  <c r="J29" i="40"/>
  <c r="I29" i="40"/>
  <c r="H29" i="40"/>
  <c r="G29" i="40"/>
  <c r="F29" i="40"/>
  <c r="E29" i="40"/>
  <c r="D29" i="40"/>
  <c r="V28" i="40"/>
  <c r="U28" i="40"/>
  <c r="T28" i="40"/>
  <c r="L28" i="40"/>
  <c r="K28" i="40"/>
  <c r="J28" i="40"/>
  <c r="I28" i="40"/>
  <c r="H28" i="40"/>
  <c r="G28" i="40"/>
  <c r="F28" i="40"/>
  <c r="E28" i="40"/>
  <c r="D28" i="40"/>
  <c r="V23" i="40"/>
  <c r="U23" i="40"/>
  <c r="T23" i="40"/>
  <c r="J23" i="40"/>
  <c r="I23" i="40"/>
  <c r="H23" i="40"/>
  <c r="G23" i="40"/>
  <c r="F23" i="40"/>
  <c r="E23" i="40"/>
  <c r="C39" i="40"/>
  <c r="C25" i="40" s="1"/>
  <c r="C22" i="40" s="1"/>
  <c r="V29" i="39"/>
  <c r="J29" i="39"/>
  <c r="I29" i="39"/>
  <c r="H29" i="39"/>
  <c r="G29" i="39"/>
  <c r="F29" i="39"/>
  <c r="E29" i="39"/>
  <c r="D29" i="39"/>
  <c r="V28" i="39"/>
  <c r="U28" i="39"/>
  <c r="T28" i="39"/>
  <c r="S28" i="39"/>
  <c r="R28" i="39"/>
  <c r="J28" i="39"/>
  <c r="I28" i="39"/>
  <c r="H28" i="39"/>
  <c r="G28" i="39"/>
  <c r="F28" i="39"/>
  <c r="E28" i="39"/>
  <c r="D28" i="39"/>
  <c r="V23" i="39"/>
  <c r="U23" i="39"/>
  <c r="T23" i="39"/>
  <c r="S23" i="39"/>
  <c r="R23" i="39"/>
  <c r="H23" i="39"/>
  <c r="G23" i="39"/>
  <c r="F23" i="39"/>
  <c r="E23" i="39"/>
  <c r="C39" i="39"/>
  <c r="C25" i="39" s="1"/>
  <c r="C22" i="39" s="1"/>
  <c r="V29" i="38"/>
  <c r="U29" i="38"/>
  <c r="T29" i="38"/>
  <c r="H29" i="38"/>
  <c r="G29" i="38"/>
  <c r="F29" i="38"/>
  <c r="E29" i="38"/>
  <c r="D29" i="38"/>
  <c r="V28" i="38"/>
  <c r="U28" i="38"/>
  <c r="T28" i="38"/>
  <c r="S28" i="38"/>
  <c r="R28" i="38"/>
  <c r="Q28" i="38"/>
  <c r="P28" i="38"/>
  <c r="H28" i="38"/>
  <c r="G28" i="38"/>
  <c r="F28" i="38"/>
  <c r="E28" i="38"/>
  <c r="D28" i="38"/>
  <c r="V23" i="38"/>
  <c r="U23" i="38"/>
  <c r="T23" i="38"/>
  <c r="S23" i="38"/>
  <c r="R23" i="38"/>
  <c r="Q23" i="38"/>
  <c r="P23" i="38"/>
  <c r="F23" i="38"/>
  <c r="E23" i="38"/>
  <c r="C39" i="38"/>
  <c r="C25" i="38" s="1"/>
  <c r="C49" i="38" s="1"/>
  <c r="V28" i="37"/>
  <c r="U28" i="37"/>
  <c r="T28" i="37"/>
  <c r="S28" i="37"/>
  <c r="R28" i="37"/>
  <c r="Q28" i="37"/>
  <c r="P28" i="37"/>
  <c r="O28" i="37"/>
  <c r="N28" i="37"/>
  <c r="M28" i="37"/>
  <c r="D28" i="37"/>
  <c r="V29" i="37"/>
  <c r="U29" i="37"/>
  <c r="T29" i="37"/>
  <c r="S29" i="37"/>
  <c r="R29" i="37"/>
  <c r="Q29" i="37"/>
  <c r="E29" i="37"/>
  <c r="D29" i="37"/>
  <c r="C39" i="37"/>
  <c r="C25" i="37" s="1"/>
  <c r="D23" i="47" l="1"/>
  <c r="E23" i="47"/>
  <c r="T23" i="47"/>
  <c r="E24" i="47"/>
  <c r="D19" i="47"/>
  <c r="C19" i="47"/>
  <c r="U23" i="47"/>
  <c r="V23" i="47"/>
  <c r="D24" i="47"/>
  <c r="C49" i="40"/>
  <c r="C49" i="39"/>
  <c r="C22" i="38"/>
  <c r="G10" i="37"/>
  <c r="K10" i="37" s="1"/>
  <c r="O10" i="37" s="1"/>
  <c r="S10" i="37" s="1"/>
  <c r="W10" i="37" s="1"/>
  <c r="E11" i="35"/>
  <c r="F11" i="35" s="1"/>
  <c r="C22" i="37" l="1"/>
  <c r="C49" i="37"/>
  <c r="C22" i="47"/>
  <c r="C21" i="47"/>
  <c r="C18" i="47"/>
  <c r="D22" i="47"/>
  <c r="D21" i="47"/>
  <c r="D18" i="47"/>
  <c r="C15" i="47"/>
  <c r="C14" i="47"/>
  <c r="C12" i="47"/>
  <c r="D15" i="47"/>
  <c r="D14" i="47"/>
  <c r="D12" i="47"/>
  <c r="C53" i="47" l="1"/>
  <c r="G5" i="47"/>
  <c r="K5" i="47" s="1"/>
  <c r="O5" i="47" s="1"/>
  <c r="S5" i="47" s="1"/>
  <c r="W5" i="47" s="1"/>
  <c r="G10" i="40" l="1"/>
  <c r="K10" i="40" s="1"/>
  <c r="O10" i="40" s="1"/>
  <c r="S10" i="40" s="1"/>
  <c r="W10" i="40" s="1"/>
  <c r="G10" i="39"/>
  <c r="K10" i="39" s="1"/>
  <c r="O10" i="39" s="1"/>
  <c r="S10" i="39" s="1"/>
  <c r="W10" i="39" s="1"/>
  <c r="G10" i="38"/>
  <c r="K10" i="38" s="1"/>
  <c r="O10" i="38" s="1"/>
  <c r="S10" i="38" s="1"/>
  <c r="W10" i="38" s="1"/>
  <c r="B8" i="41" l="1"/>
  <c r="B72" i="47" l="1"/>
  <c r="D64" i="47"/>
  <c r="C64" i="47"/>
  <c r="C63" i="47"/>
  <c r="C80" i="47" s="1"/>
  <c r="D62" i="47"/>
  <c r="C62" i="47"/>
  <c r="D61" i="47"/>
  <c r="C61" i="47"/>
  <c r="D59" i="47"/>
  <c r="C59" i="47"/>
  <c r="D58" i="47"/>
  <c r="C58" i="47"/>
  <c r="C57" i="47"/>
  <c r="G53" i="47"/>
  <c r="K53" i="47" s="1"/>
  <c r="O53" i="47" s="1"/>
  <c r="S53" i="47" s="1"/>
  <c r="W53" i="47" s="1"/>
  <c r="B11" i="41"/>
  <c r="C18" i="40"/>
  <c r="C48" i="40" s="1"/>
  <c r="C18" i="39"/>
  <c r="C48" i="39" s="1"/>
  <c r="C18" i="37"/>
  <c r="C18" i="38"/>
  <c r="C48" i="38" s="1"/>
  <c r="Z23" i="40"/>
  <c r="Y23" i="40"/>
  <c r="X23" i="40"/>
  <c r="W23" i="40"/>
  <c r="Z23" i="39"/>
  <c r="Y23" i="39"/>
  <c r="X23" i="39"/>
  <c r="W23" i="39"/>
  <c r="Z23" i="38"/>
  <c r="Y23" i="38"/>
  <c r="X23" i="38"/>
  <c r="W23" i="38"/>
  <c r="Z23" i="37"/>
  <c r="Y23" i="37"/>
  <c r="X23" i="37"/>
  <c r="W23" i="37"/>
  <c r="V23" i="37"/>
  <c r="V24" i="37" s="1"/>
  <c r="U23" i="37"/>
  <c r="U24" i="37" s="1"/>
  <c r="T23" i="37"/>
  <c r="T24" i="37" s="1"/>
  <c r="S23" i="37"/>
  <c r="S24" i="37" s="1"/>
  <c r="R23" i="37"/>
  <c r="R24" i="37" s="1"/>
  <c r="Q23" i="37"/>
  <c r="Q24" i="37" s="1"/>
  <c r="P23" i="37"/>
  <c r="O23" i="37"/>
  <c r="Z35" i="40"/>
  <c r="Y35" i="40"/>
  <c r="X35" i="40"/>
  <c r="W35" i="40"/>
  <c r="V35" i="40"/>
  <c r="U35" i="40"/>
  <c r="J35" i="40"/>
  <c r="I35" i="40"/>
  <c r="H35" i="40"/>
  <c r="G35" i="40"/>
  <c r="F35" i="40"/>
  <c r="E35" i="40"/>
  <c r="Q32" i="40"/>
  <c r="P32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Z31" i="40"/>
  <c r="Y31" i="40"/>
  <c r="X31" i="40"/>
  <c r="W31" i="40"/>
  <c r="V31" i="40"/>
  <c r="U31" i="40"/>
  <c r="J31" i="40"/>
  <c r="I31" i="40"/>
  <c r="H31" i="40"/>
  <c r="G31" i="40"/>
  <c r="F31" i="40"/>
  <c r="E31" i="40"/>
  <c r="D31" i="40"/>
  <c r="C31" i="40"/>
  <c r="C20" i="47"/>
  <c r="C17" i="47" s="1"/>
  <c r="C21" i="40"/>
  <c r="D21" i="40" s="1"/>
  <c r="Z20" i="40"/>
  <c r="Y20" i="40"/>
  <c r="X20" i="40"/>
  <c r="W20" i="40"/>
  <c r="V20" i="40"/>
  <c r="U20" i="40"/>
  <c r="T20" i="40"/>
  <c r="S20" i="40"/>
  <c r="R20" i="40"/>
  <c r="Q20" i="40"/>
  <c r="P20" i="40"/>
  <c r="O20" i="40"/>
  <c r="J20" i="40"/>
  <c r="I20" i="40"/>
  <c r="H20" i="40"/>
  <c r="G20" i="40"/>
  <c r="F20" i="40"/>
  <c r="E20" i="40"/>
  <c r="Z19" i="40"/>
  <c r="Y19" i="40"/>
  <c r="X19" i="40"/>
  <c r="W19" i="40"/>
  <c r="V19" i="40"/>
  <c r="U19" i="40"/>
  <c r="T19" i="40"/>
  <c r="S19" i="40"/>
  <c r="R19" i="40"/>
  <c r="Q19" i="40"/>
  <c r="P19" i="40"/>
  <c r="O19" i="40"/>
  <c r="J19" i="40"/>
  <c r="I19" i="40"/>
  <c r="H19" i="40"/>
  <c r="G19" i="40"/>
  <c r="F19" i="40"/>
  <c r="E19" i="40"/>
  <c r="L17" i="40"/>
  <c r="K17" i="40"/>
  <c r="J17" i="40"/>
  <c r="J24" i="40" s="1"/>
  <c r="I17" i="40"/>
  <c r="I24" i="40" s="1"/>
  <c r="H17" i="40"/>
  <c r="H24" i="40" s="1"/>
  <c r="G17" i="40"/>
  <c r="G24" i="40" s="1"/>
  <c r="F17" i="40"/>
  <c r="F24" i="40" s="1"/>
  <c r="E17" i="40"/>
  <c r="E24" i="40" s="1"/>
  <c r="A11" i="40"/>
  <c r="Z35" i="39"/>
  <c r="Y35" i="39"/>
  <c r="X35" i="39"/>
  <c r="W35" i="39"/>
  <c r="V35" i="39"/>
  <c r="U35" i="39"/>
  <c r="T35" i="39"/>
  <c r="S35" i="39"/>
  <c r="H35" i="39"/>
  <c r="G35" i="39"/>
  <c r="F35" i="39"/>
  <c r="E35" i="39"/>
  <c r="Z32" i="39"/>
  <c r="Y32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Z31" i="39"/>
  <c r="Y31" i="39"/>
  <c r="X31" i="39"/>
  <c r="W31" i="39"/>
  <c r="V31" i="39"/>
  <c r="U31" i="39"/>
  <c r="T31" i="39"/>
  <c r="S31" i="39"/>
  <c r="H31" i="39"/>
  <c r="G31" i="39"/>
  <c r="F31" i="39"/>
  <c r="E31" i="39"/>
  <c r="D31" i="39"/>
  <c r="C31" i="39"/>
  <c r="C21" i="39"/>
  <c r="D21" i="39" s="1"/>
  <c r="Z20" i="39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H20" i="39"/>
  <c r="G20" i="39"/>
  <c r="F20" i="39"/>
  <c r="E20" i="39"/>
  <c r="Z19" i="39"/>
  <c r="Y19" i="39"/>
  <c r="X19" i="39"/>
  <c r="W19" i="39"/>
  <c r="V19" i="39"/>
  <c r="U19" i="39"/>
  <c r="T19" i="39"/>
  <c r="S19" i="39"/>
  <c r="R19" i="39"/>
  <c r="Q19" i="39"/>
  <c r="P19" i="39"/>
  <c r="O19" i="39"/>
  <c r="N19" i="39"/>
  <c r="M19" i="39"/>
  <c r="H19" i="39"/>
  <c r="G19" i="39"/>
  <c r="F19" i="39"/>
  <c r="E19" i="39"/>
  <c r="Z17" i="39"/>
  <c r="Y17" i="39"/>
  <c r="Y24" i="39" s="1"/>
  <c r="J17" i="39"/>
  <c r="I17" i="39"/>
  <c r="H17" i="39"/>
  <c r="H24" i="39" s="1"/>
  <c r="G17" i="39"/>
  <c r="G24" i="39" s="1"/>
  <c r="F17" i="39"/>
  <c r="F24" i="39" s="1"/>
  <c r="E17" i="39"/>
  <c r="E24" i="39" s="1"/>
  <c r="A11" i="39"/>
  <c r="Z35" i="38"/>
  <c r="Y35" i="38"/>
  <c r="X35" i="38"/>
  <c r="W35" i="38"/>
  <c r="V35" i="38"/>
  <c r="U35" i="38"/>
  <c r="T35" i="38"/>
  <c r="S35" i="38"/>
  <c r="R35" i="38"/>
  <c r="Q35" i="38"/>
  <c r="F35" i="38"/>
  <c r="E35" i="38"/>
  <c r="Z32" i="38"/>
  <c r="Y32" i="38"/>
  <c r="X32" i="38"/>
  <c r="W32" i="38"/>
  <c r="L32" i="38"/>
  <c r="J32" i="38"/>
  <c r="I32" i="38"/>
  <c r="H32" i="38"/>
  <c r="G32" i="38"/>
  <c r="F32" i="38"/>
  <c r="E32" i="38"/>
  <c r="D32" i="38"/>
  <c r="C32" i="38"/>
  <c r="Z31" i="38"/>
  <c r="Y31" i="38"/>
  <c r="X31" i="38"/>
  <c r="W31" i="38"/>
  <c r="V31" i="38"/>
  <c r="U31" i="38"/>
  <c r="T31" i="38"/>
  <c r="S31" i="38"/>
  <c r="R31" i="38"/>
  <c r="Q31" i="38"/>
  <c r="F31" i="38"/>
  <c r="E31" i="38"/>
  <c r="D31" i="38"/>
  <c r="C31" i="38"/>
  <c r="C21" i="38"/>
  <c r="Z20" i="38"/>
  <c r="Y20" i="38"/>
  <c r="X20" i="38"/>
  <c r="W20" i="38"/>
  <c r="V20" i="38"/>
  <c r="U20" i="38"/>
  <c r="T20" i="38"/>
  <c r="S20" i="38"/>
  <c r="R20" i="38"/>
  <c r="Q20" i="38"/>
  <c r="P20" i="38"/>
  <c r="O20" i="38"/>
  <c r="F20" i="38"/>
  <c r="E20" i="38"/>
  <c r="Z19" i="38"/>
  <c r="Y19" i="38"/>
  <c r="X19" i="38"/>
  <c r="W19" i="38"/>
  <c r="V19" i="38"/>
  <c r="U19" i="38"/>
  <c r="T19" i="38"/>
  <c r="S19" i="38"/>
  <c r="R19" i="38"/>
  <c r="Q19" i="38"/>
  <c r="P19" i="38"/>
  <c r="O19" i="38"/>
  <c r="F19" i="38"/>
  <c r="E19" i="38"/>
  <c r="Z17" i="38"/>
  <c r="Y17" i="38"/>
  <c r="X17" i="38"/>
  <c r="W17" i="38"/>
  <c r="H17" i="38"/>
  <c r="G17" i="38"/>
  <c r="F24" i="38"/>
  <c r="E24" i="38"/>
  <c r="A11" i="38"/>
  <c r="Z35" i="37"/>
  <c r="Y35" i="37"/>
  <c r="X35" i="37"/>
  <c r="W35" i="37"/>
  <c r="V35" i="37"/>
  <c r="U35" i="37"/>
  <c r="T35" i="37"/>
  <c r="S35" i="37"/>
  <c r="R35" i="37"/>
  <c r="Q35" i="37"/>
  <c r="P35" i="37"/>
  <c r="O35" i="37"/>
  <c r="Z32" i="37"/>
  <c r="Y32" i="37"/>
  <c r="X32" i="37"/>
  <c r="W32" i="37"/>
  <c r="V32" i="37"/>
  <c r="U32" i="37"/>
  <c r="I32" i="37"/>
  <c r="H32" i="37"/>
  <c r="G32" i="37"/>
  <c r="F32" i="37"/>
  <c r="E32" i="37"/>
  <c r="D32" i="37"/>
  <c r="C32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D31" i="37"/>
  <c r="C31" i="37"/>
  <c r="C21" i="37"/>
  <c r="D21" i="37" s="1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Z19" i="37"/>
  <c r="Y19" i="37"/>
  <c r="X19" i="37"/>
  <c r="W19" i="37"/>
  <c r="V19" i="37"/>
  <c r="U19" i="37"/>
  <c r="T19" i="37"/>
  <c r="S19" i="37"/>
  <c r="R19" i="37"/>
  <c r="Q19" i="37"/>
  <c r="Z17" i="37"/>
  <c r="Y17" i="37"/>
  <c r="X17" i="37"/>
  <c r="W17" i="37"/>
  <c r="F31" i="37"/>
  <c r="A11" i="37"/>
  <c r="D13" i="35"/>
  <c r="X24" i="38" l="1"/>
  <c r="Y24" i="38"/>
  <c r="W24" i="38"/>
  <c r="D7" i="48"/>
  <c r="C7" i="48"/>
  <c r="F7" i="48"/>
  <c r="E7" i="48"/>
  <c r="Z24" i="39"/>
  <c r="Z24" i="38"/>
  <c r="W24" i="37"/>
  <c r="Z24" i="37"/>
  <c r="X24" i="37"/>
  <c r="Y24" i="37"/>
  <c r="J31" i="39"/>
  <c r="G31" i="38"/>
  <c r="K31" i="40"/>
  <c r="H31" i="38"/>
  <c r="L31" i="40"/>
  <c r="I31" i="39"/>
  <c r="B18" i="41"/>
  <c r="B20" i="41" s="1"/>
  <c r="C79" i="47"/>
  <c r="C44" i="47"/>
  <c r="C33" i="40"/>
  <c r="D33" i="40" s="1"/>
  <c r="E33" i="40" s="1"/>
  <c r="F33" i="40" s="1"/>
  <c r="G33" i="40" s="1"/>
  <c r="H33" i="40" s="1"/>
  <c r="I33" i="40" s="1"/>
  <c r="J33" i="40" s="1"/>
  <c r="C33" i="39"/>
  <c r="D33" i="39" s="1"/>
  <c r="E33" i="39" s="1"/>
  <c r="F33" i="39" s="1"/>
  <c r="G33" i="39" s="1"/>
  <c r="H33" i="39" s="1"/>
  <c r="C16" i="47"/>
  <c r="C26" i="47"/>
  <c r="D26" i="47"/>
  <c r="C33" i="38"/>
  <c r="D33" i="38" s="1"/>
  <c r="E33" i="38" s="1"/>
  <c r="F33" i="38" s="1"/>
  <c r="D21" i="38"/>
  <c r="B8" i="38"/>
  <c r="E13" i="35"/>
  <c r="Z18" i="47"/>
  <c r="Y18" i="47"/>
  <c r="G27" i="47"/>
  <c r="E12" i="47"/>
  <c r="E31" i="37"/>
  <c r="E26" i="47" s="1"/>
  <c r="E27" i="47"/>
  <c r="F26" i="47"/>
  <c r="F27" i="47"/>
  <c r="F12" i="47"/>
  <c r="D27" i="47"/>
  <c r="H27" i="47"/>
  <c r="C13" i="47"/>
  <c r="C33" i="37"/>
  <c r="D33" i="37" s="1"/>
  <c r="C27" i="47"/>
  <c r="C60" i="47"/>
  <c r="D8" i="35"/>
  <c r="X18" i="47"/>
  <c r="V14" i="47"/>
  <c r="V61" i="47" s="1"/>
  <c r="R15" i="47"/>
  <c r="R62" i="47" s="1"/>
  <c r="V15" i="47"/>
  <c r="V62" i="47" s="1"/>
  <c r="Z15" i="47"/>
  <c r="Z62" i="47" s="1"/>
  <c r="S15" i="47"/>
  <c r="S62" i="47" s="1"/>
  <c r="U15" i="47"/>
  <c r="U62" i="47" s="1"/>
  <c r="S14" i="47"/>
  <c r="S61" i="47" s="1"/>
  <c r="Q14" i="47"/>
  <c r="Q61" i="47" s="1"/>
  <c r="C50" i="38"/>
  <c r="C16" i="39"/>
  <c r="C30" i="39" s="1"/>
  <c r="C34" i="39" s="1"/>
  <c r="C35" i="39" s="1"/>
  <c r="Y26" i="47"/>
  <c r="X26" i="47"/>
  <c r="X30" i="47"/>
  <c r="V18" i="47"/>
  <c r="W30" i="47"/>
  <c r="U18" i="47"/>
  <c r="U14" i="47"/>
  <c r="U61" i="47" s="1"/>
  <c r="Q15" i="47"/>
  <c r="Q62" i="47" s="1"/>
  <c r="Y15" i="47"/>
  <c r="Y62" i="47" s="1"/>
  <c r="C50" i="39"/>
  <c r="C51" i="39" s="1"/>
  <c r="C52" i="39" s="1"/>
  <c r="C53" i="39" s="1"/>
  <c r="C54" i="39" s="1"/>
  <c r="C55" i="39" s="1"/>
  <c r="C50" i="40"/>
  <c r="C16" i="38"/>
  <c r="C30" i="38" s="1"/>
  <c r="C34" i="38" s="1"/>
  <c r="C35" i="38" s="1"/>
  <c r="X14" i="47"/>
  <c r="X61" i="47" s="1"/>
  <c r="V26" i="47"/>
  <c r="Z26" i="47"/>
  <c r="Y14" i="47"/>
  <c r="Y61" i="47" s="1"/>
  <c r="W26" i="47"/>
  <c r="W18" i="47"/>
  <c r="C16" i="40"/>
  <c r="C30" i="40" s="1"/>
  <c r="C34" i="40" s="1"/>
  <c r="C36" i="40" s="1"/>
  <c r="V30" i="47"/>
  <c r="W14" i="47"/>
  <c r="W61" i="47" s="1"/>
  <c r="W15" i="47"/>
  <c r="W62" i="47" s="1"/>
  <c r="C16" i="37"/>
  <c r="C48" i="37"/>
  <c r="Z14" i="47"/>
  <c r="Z61" i="47" s="1"/>
  <c r="T14" i="47"/>
  <c r="T61" i="47" s="1"/>
  <c r="P15" i="47"/>
  <c r="P62" i="47" s="1"/>
  <c r="Z30" i="47"/>
  <c r="O15" i="47"/>
  <c r="O62" i="47" s="1"/>
  <c r="I27" i="47"/>
  <c r="U30" i="47"/>
  <c r="Y30" i="47"/>
  <c r="R14" i="47"/>
  <c r="R61" i="47" s="1"/>
  <c r="T15" i="47"/>
  <c r="T62" i="47" s="1"/>
  <c r="X15" i="47"/>
  <c r="X62" i="47" s="1"/>
  <c r="U26" i="47"/>
  <c r="B25" i="41" l="1"/>
  <c r="B26" i="41" s="1"/>
  <c r="F9" i="48"/>
  <c r="B5" i="53"/>
  <c r="E9" i="48"/>
  <c r="B5" i="52"/>
  <c r="B5" i="50"/>
  <c r="C9" i="48"/>
  <c r="B7" i="48"/>
  <c r="E6" i="48" s="1"/>
  <c r="D9" i="48"/>
  <c r="B5" i="51"/>
  <c r="C7" i="35"/>
  <c r="D7" i="35" s="1"/>
  <c r="D9" i="35" s="1"/>
  <c r="K33" i="40"/>
  <c r="L33" i="40" s="1"/>
  <c r="C51" i="38"/>
  <c r="C52" i="38" s="1"/>
  <c r="C43" i="47"/>
  <c r="C51" i="40"/>
  <c r="C52" i="40" s="1"/>
  <c r="I33" i="39"/>
  <c r="J33" i="39" s="1"/>
  <c r="G33" i="38"/>
  <c r="H33" i="38" s="1"/>
  <c r="C28" i="47"/>
  <c r="D28" i="47" s="1"/>
  <c r="E28" i="47" s="1"/>
  <c r="F28" i="47" s="1"/>
  <c r="D16" i="47"/>
  <c r="B8" i="39"/>
  <c r="F13" i="35"/>
  <c r="B8" i="40" s="1"/>
  <c r="E33" i="37"/>
  <c r="F33" i="37" s="1"/>
  <c r="F8" i="35"/>
  <c r="E8" i="35"/>
  <c r="C36" i="39"/>
  <c r="C40" i="39" s="1"/>
  <c r="C41" i="39"/>
  <c r="C45" i="39" s="1"/>
  <c r="C36" i="38"/>
  <c r="C37" i="38" s="1"/>
  <c r="C35" i="40"/>
  <c r="C37" i="40" s="1"/>
  <c r="C11" i="47"/>
  <c r="C30" i="37"/>
  <c r="C34" i="37" s="1"/>
  <c r="C50" i="37"/>
  <c r="C81" i="47"/>
  <c r="F60" i="41" l="1"/>
  <c r="B62" i="41"/>
  <c r="C62" i="41" s="1"/>
  <c r="B58" i="41"/>
  <c r="C58" i="41" s="1"/>
  <c r="B54" i="41"/>
  <c r="C54" i="41" s="1"/>
  <c r="B50" i="41"/>
  <c r="C50" i="41" s="1"/>
  <c r="B46" i="41"/>
  <c r="C46" i="41" s="1"/>
  <c r="B42" i="41"/>
  <c r="C42" i="41" s="1"/>
  <c r="B45" i="41"/>
  <c r="C45" i="41" s="1"/>
  <c r="B64" i="41"/>
  <c r="C64" i="41" s="1"/>
  <c r="B56" i="41"/>
  <c r="C56" i="41" s="1"/>
  <c r="B48" i="41"/>
  <c r="C48" i="41" s="1"/>
  <c r="B40" i="41"/>
  <c r="C40" i="41" s="1"/>
  <c r="B63" i="41"/>
  <c r="C63" i="41" s="1"/>
  <c r="B55" i="41"/>
  <c r="C55" i="41" s="1"/>
  <c r="B47" i="41"/>
  <c r="C47" i="41" s="1"/>
  <c r="B39" i="41"/>
  <c r="C39" i="41" s="1"/>
  <c r="B65" i="41"/>
  <c r="C65" i="41" s="1"/>
  <c r="B61" i="41"/>
  <c r="C61" i="41" s="1"/>
  <c r="B57" i="41"/>
  <c r="C57" i="41" s="1"/>
  <c r="B53" i="41"/>
  <c r="C53" i="41" s="1"/>
  <c r="B49" i="41"/>
  <c r="C49" i="41" s="1"/>
  <c r="B41" i="41"/>
  <c r="C41" i="41" s="1"/>
  <c r="B60" i="41"/>
  <c r="C60" i="41" s="1"/>
  <c r="B52" i="41"/>
  <c r="C52" i="41" s="1"/>
  <c r="B44" i="41"/>
  <c r="C44" i="41" s="1"/>
  <c r="B59" i="41"/>
  <c r="C59" i="41" s="1"/>
  <c r="B51" i="41"/>
  <c r="C51" i="41" s="1"/>
  <c r="B43" i="41"/>
  <c r="C43" i="41" s="1"/>
  <c r="C9" i="35"/>
  <c r="B5" i="37"/>
  <c r="T15" i="52"/>
  <c r="P15" i="52"/>
  <c r="L15" i="52"/>
  <c r="Q15" i="52"/>
  <c r="S15" i="52"/>
  <c r="O15" i="52"/>
  <c r="R15" i="52"/>
  <c r="N15" i="52"/>
  <c r="M15" i="52"/>
  <c r="S17" i="52"/>
  <c r="S24" i="52" s="1"/>
  <c r="T17" i="52"/>
  <c r="T24" i="52" s="1"/>
  <c r="T15" i="53"/>
  <c r="P15" i="53"/>
  <c r="S15" i="53"/>
  <c r="O15" i="53"/>
  <c r="V15" i="53"/>
  <c r="R15" i="53"/>
  <c r="N15" i="53"/>
  <c r="U15" i="53"/>
  <c r="Q15" i="53"/>
  <c r="V17" i="53"/>
  <c r="U17" i="53"/>
  <c r="P15" i="51"/>
  <c r="L15" i="51"/>
  <c r="Q15" i="51"/>
  <c r="O15" i="51"/>
  <c r="K15" i="51"/>
  <c r="R15" i="51"/>
  <c r="N15" i="51"/>
  <c r="J15" i="51"/>
  <c r="M15" i="51"/>
  <c r="Q17" i="51"/>
  <c r="Q24" i="51" s="1"/>
  <c r="R17" i="51"/>
  <c r="R24" i="51" s="1"/>
  <c r="P15" i="50"/>
  <c r="L15" i="50"/>
  <c r="H15" i="50"/>
  <c r="K15" i="50"/>
  <c r="M15" i="50"/>
  <c r="O15" i="50"/>
  <c r="N15" i="50"/>
  <c r="J15" i="50"/>
  <c r="I15" i="50"/>
  <c r="P17" i="50"/>
  <c r="P24" i="50" s="1"/>
  <c r="N15" i="37"/>
  <c r="M15" i="37"/>
  <c r="L15" i="37"/>
  <c r="K15" i="37"/>
  <c r="N17" i="37"/>
  <c r="M17" i="37"/>
  <c r="D6" i="48"/>
  <c r="E12" i="48"/>
  <c r="E10" i="48"/>
  <c r="P17" i="51"/>
  <c r="B6" i="51"/>
  <c r="M17" i="51"/>
  <c r="L17" i="51"/>
  <c r="N17" i="51"/>
  <c r="N31" i="51" s="1"/>
  <c r="I17" i="51"/>
  <c r="O17" i="51"/>
  <c r="J17" i="51"/>
  <c r="K17" i="51"/>
  <c r="C12" i="48"/>
  <c r="B6" i="50"/>
  <c r="C10" i="48"/>
  <c r="F6" i="48"/>
  <c r="D10" i="48"/>
  <c r="D12" i="48"/>
  <c r="I17" i="50"/>
  <c r="K17" i="50"/>
  <c r="N17" i="50"/>
  <c r="N24" i="50" s="1"/>
  <c r="M17" i="50"/>
  <c r="M24" i="50" s="1"/>
  <c r="O17" i="50"/>
  <c r="H17" i="50"/>
  <c r="J17" i="50"/>
  <c r="L17" i="50"/>
  <c r="N17" i="53"/>
  <c r="T17" i="53"/>
  <c r="B6" i="53"/>
  <c r="S17" i="53"/>
  <c r="M17" i="53"/>
  <c r="Q17" i="53"/>
  <c r="P17" i="53"/>
  <c r="R17" i="53"/>
  <c r="R31" i="53" s="1"/>
  <c r="R26" i="49" s="1"/>
  <c r="O17" i="53"/>
  <c r="C6" i="48"/>
  <c r="R17" i="52"/>
  <c r="O17" i="52"/>
  <c r="B6" i="52"/>
  <c r="P17" i="52"/>
  <c r="P31" i="52" s="1"/>
  <c r="M17" i="52"/>
  <c r="Q17" i="52"/>
  <c r="L17" i="52"/>
  <c r="N17" i="52"/>
  <c r="K17" i="52"/>
  <c r="B9" i="48"/>
  <c r="B8" i="48" s="1"/>
  <c r="F12" i="48"/>
  <c r="F10" i="48"/>
  <c r="F39" i="41"/>
  <c r="F47" i="41"/>
  <c r="F54" i="41"/>
  <c r="F44" i="41"/>
  <c r="F43" i="41"/>
  <c r="F55" i="41"/>
  <c r="D12" i="35"/>
  <c r="D10" i="35"/>
  <c r="F59" i="41"/>
  <c r="F48" i="41"/>
  <c r="E7" i="35"/>
  <c r="E9" i="35" s="1"/>
  <c r="B5" i="38"/>
  <c r="J15" i="38" s="1"/>
  <c r="J10" i="47" s="1"/>
  <c r="F46" i="41"/>
  <c r="F51" i="41"/>
  <c r="F58" i="41"/>
  <c r="F52" i="41"/>
  <c r="F53" i="41"/>
  <c r="F40" i="41"/>
  <c r="F56" i="41"/>
  <c r="B6" i="37"/>
  <c r="B7" i="37" s="1"/>
  <c r="C12" i="35"/>
  <c r="C10" i="35"/>
  <c r="F50" i="41"/>
  <c r="F45" i="41"/>
  <c r="F57" i="41"/>
  <c r="F42" i="41"/>
  <c r="F41" i="41"/>
  <c r="F49" i="41"/>
  <c r="F65" i="41"/>
  <c r="F62" i="41"/>
  <c r="F64" i="41"/>
  <c r="F61" i="41"/>
  <c r="F63" i="41"/>
  <c r="C53" i="38"/>
  <c r="C53" i="40"/>
  <c r="D39" i="40"/>
  <c r="D25" i="40" s="1"/>
  <c r="D49" i="40" s="1"/>
  <c r="D39" i="38"/>
  <c r="D25" i="38" s="1"/>
  <c r="D49" i="38" s="1"/>
  <c r="C37" i="39"/>
  <c r="C42" i="39"/>
  <c r="C40" i="38"/>
  <c r="C40" i="40"/>
  <c r="C82" i="47"/>
  <c r="C38" i="40"/>
  <c r="C38" i="38"/>
  <c r="C35" i="37"/>
  <c r="C30" i="47" s="1"/>
  <c r="C36" i="37"/>
  <c r="C31" i="47" s="1"/>
  <c r="C25" i="47"/>
  <c r="C29" i="47" s="1"/>
  <c r="C51" i="37"/>
  <c r="C45" i="47"/>
  <c r="B21" i="41" l="1"/>
  <c r="B15" i="52"/>
  <c r="N10" i="49"/>
  <c r="N9" i="49" s="1"/>
  <c r="R10" i="49"/>
  <c r="R9" i="49" s="1"/>
  <c r="V10" i="49"/>
  <c r="V9" i="49" s="1"/>
  <c r="W9" i="49" s="1"/>
  <c r="O10" i="49"/>
  <c r="O9" i="49" s="1"/>
  <c r="U10" i="49"/>
  <c r="U9" i="49" s="1"/>
  <c r="I10" i="49"/>
  <c r="I9" i="49" s="1"/>
  <c r="M10" i="49"/>
  <c r="M9" i="49" s="1"/>
  <c r="P10" i="49"/>
  <c r="P9" i="49" s="1"/>
  <c r="B15" i="51"/>
  <c r="U24" i="53"/>
  <c r="U19" i="49" s="1"/>
  <c r="U12" i="49"/>
  <c r="B15" i="53"/>
  <c r="H10" i="49"/>
  <c r="H9" i="49" s="1"/>
  <c r="B15" i="50"/>
  <c r="L10" i="49"/>
  <c r="L9" i="49" s="1"/>
  <c r="J10" i="49"/>
  <c r="J9" i="49" s="1"/>
  <c r="K10" i="49"/>
  <c r="K9" i="49" s="1"/>
  <c r="Q10" i="49"/>
  <c r="Q9" i="49" s="1"/>
  <c r="V24" i="53"/>
  <c r="V19" i="49" s="1"/>
  <c r="V12" i="49"/>
  <c r="S10" i="49"/>
  <c r="S9" i="49" s="1"/>
  <c r="T10" i="49"/>
  <c r="T9" i="49" s="1"/>
  <c r="R15" i="38"/>
  <c r="N15" i="38"/>
  <c r="M15" i="38"/>
  <c r="Q15" i="38"/>
  <c r="P15" i="38"/>
  <c r="L15" i="38"/>
  <c r="O15" i="38"/>
  <c r="K15" i="38"/>
  <c r="B15" i="37"/>
  <c r="M31" i="52"/>
  <c r="J31" i="50"/>
  <c r="J12" i="49"/>
  <c r="B10" i="48"/>
  <c r="N31" i="52"/>
  <c r="Q31" i="53"/>
  <c r="Q26" i="49" s="1"/>
  <c r="T24" i="53"/>
  <c r="T12" i="49"/>
  <c r="H12" i="49"/>
  <c r="H31" i="50"/>
  <c r="B17" i="50"/>
  <c r="B14" i="50" s="1"/>
  <c r="K31" i="50"/>
  <c r="K31" i="51"/>
  <c r="P24" i="51"/>
  <c r="P12" i="49"/>
  <c r="K12" i="49"/>
  <c r="B17" i="52"/>
  <c r="B14" i="52" s="1"/>
  <c r="K31" i="52"/>
  <c r="R24" i="52"/>
  <c r="B7" i="53"/>
  <c r="B17" i="51"/>
  <c r="B14" i="51" s="1"/>
  <c r="I31" i="51"/>
  <c r="B12" i="48"/>
  <c r="B11" i="48" s="1"/>
  <c r="L31" i="52"/>
  <c r="B7" i="52"/>
  <c r="O31" i="53"/>
  <c r="M12" i="49"/>
  <c r="M31" i="53"/>
  <c r="B17" i="53"/>
  <c r="B14" i="53" s="1"/>
  <c r="N12" i="49"/>
  <c r="N31" i="53"/>
  <c r="O24" i="50"/>
  <c r="O12" i="49"/>
  <c r="I31" i="50"/>
  <c r="I12" i="49"/>
  <c r="J31" i="51"/>
  <c r="L31" i="51"/>
  <c r="P31" i="53"/>
  <c r="P26" i="49" s="1"/>
  <c r="B7" i="51"/>
  <c r="Q24" i="52"/>
  <c r="Q12" i="49"/>
  <c r="O31" i="52"/>
  <c r="R12" i="49"/>
  <c r="S12" i="49"/>
  <c r="S24" i="53"/>
  <c r="L31" i="50"/>
  <c r="L12" i="49"/>
  <c r="B7" i="50"/>
  <c r="J23" i="50" s="1"/>
  <c r="O24" i="51"/>
  <c r="M31" i="51"/>
  <c r="E10" i="35"/>
  <c r="E12" i="35"/>
  <c r="F7" i="35"/>
  <c r="B7" i="35" s="1"/>
  <c r="B5" i="39"/>
  <c r="L15" i="39" s="1"/>
  <c r="C43" i="39"/>
  <c r="C44" i="39" s="1"/>
  <c r="D18" i="39" s="1"/>
  <c r="D48" i="39" s="1"/>
  <c r="C41" i="38"/>
  <c r="C45" i="38" s="1"/>
  <c r="C54" i="38"/>
  <c r="C54" i="40"/>
  <c r="C41" i="40"/>
  <c r="C45" i="40" s="1"/>
  <c r="D22" i="40"/>
  <c r="C38" i="39"/>
  <c r="D39" i="39"/>
  <c r="D25" i="39" s="1"/>
  <c r="D49" i="39" s="1"/>
  <c r="D22" i="38"/>
  <c r="C40" i="37"/>
  <c r="C46" i="47"/>
  <c r="C37" i="37"/>
  <c r="B6" i="38"/>
  <c r="C52" i="37"/>
  <c r="C83" i="47"/>
  <c r="L10" i="47" l="1"/>
  <c r="W14" i="51"/>
  <c r="W14" i="52"/>
  <c r="W14" i="50"/>
  <c r="W14" i="53"/>
  <c r="X9" i="49"/>
  <c r="N26" i="49"/>
  <c r="B15" i="38"/>
  <c r="B10" i="49"/>
  <c r="J23" i="51"/>
  <c r="J24" i="51" s="1"/>
  <c r="I20" i="51"/>
  <c r="N23" i="52"/>
  <c r="N28" i="52" s="1"/>
  <c r="K20" i="52"/>
  <c r="P23" i="52"/>
  <c r="M23" i="53"/>
  <c r="M24" i="53" s="1"/>
  <c r="M20" i="53"/>
  <c r="M15" i="49" s="1"/>
  <c r="M62" i="49" s="1"/>
  <c r="N23" i="51"/>
  <c r="I26" i="49"/>
  <c r="K10" i="47"/>
  <c r="B6" i="39"/>
  <c r="B7" i="39" s="1"/>
  <c r="M23" i="39" s="1"/>
  <c r="R15" i="39"/>
  <c r="N15" i="39"/>
  <c r="Q15" i="39"/>
  <c r="M15" i="39"/>
  <c r="T15" i="39"/>
  <c r="P15" i="39"/>
  <c r="S15" i="39"/>
  <c r="O15" i="39"/>
  <c r="M26" i="49"/>
  <c r="L23" i="51"/>
  <c r="L24" i="51" s="1"/>
  <c r="J26" i="49"/>
  <c r="N23" i="53"/>
  <c r="N24" i="53" s="1"/>
  <c r="M23" i="52"/>
  <c r="M24" i="52" s="1"/>
  <c r="K23" i="51"/>
  <c r="K28" i="51" s="1"/>
  <c r="P23" i="53"/>
  <c r="P24" i="53" s="1"/>
  <c r="M28" i="53"/>
  <c r="J28" i="51"/>
  <c r="I23" i="51"/>
  <c r="G23" i="51"/>
  <c r="G20" i="51"/>
  <c r="H23" i="51"/>
  <c r="H20" i="51"/>
  <c r="H15" i="49" s="1"/>
  <c r="H62" i="49" s="1"/>
  <c r="L23" i="52"/>
  <c r="B31" i="51"/>
  <c r="I33" i="51"/>
  <c r="J33" i="51" s="1"/>
  <c r="K33" i="51" s="1"/>
  <c r="L33" i="51" s="1"/>
  <c r="M33" i="51" s="1"/>
  <c r="N32" i="51" s="1"/>
  <c r="O23" i="53"/>
  <c r="B12" i="49"/>
  <c r="B9" i="49" s="1"/>
  <c r="T19" i="49"/>
  <c r="J28" i="50"/>
  <c r="S19" i="49"/>
  <c r="L23" i="50"/>
  <c r="G23" i="50"/>
  <c r="F20" i="50"/>
  <c r="F23" i="50"/>
  <c r="G20" i="50"/>
  <c r="K23" i="50"/>
  <c r="H23" i="50"/>
  <c r="I23" i="50"/>
  <c r="M23" i="51"/>
  <c r="B31" i="53"/>
  <c r="M33" i="53"/>
  <c r="N33" i="53" s="1"/>
  <c r="O33" i="53" s="1"/>
  <c r="P33" i="53" s="1"/>
  <c r="Q33" i="53" s="1"/>
  <c r="R32" i="53" s="1"/>
  <c r="O23" i="52"/>
  <c r="Q23" i="53"/>
  <c r="J24" i="50"/>
  <c r="O26" i="49"/>
  <c r="K26" i="49"/>
  <c r="K33" i="52"/>
  <c r="L33" i="52" s="1"/>
  <c r="M33" i="52" s="1"/>
  <c r="N33" i="52" s="1"/>
  <c r="O33" i="52" s="1"/>
  <c r="P32" i="52" s="1"/>
  <c r="B31" i="52"/>
  <c r="M28" i="52"/>
  <c r="K23" i="52"/>
  <c r="J20" i="52"/>
  <c r="J15" i="49" s="1"/>
  <c r="J62" i="49" s="1"/>
  <c r="I23" i="52"/>
  <c r="I20" i="52"/>
  <c r="J23" i="52"/>
  <c r="L26" i="49"/>
  <c r="R23" i="53"/>
  <c r="R28" i="53" s="1"/>
  <c r="R23" i="49" s="1"/>
  <c r="K20" i="53"/>
  <c r="L20" i="53"/>
  <c r="L15" i="49" s="1"/>
  <c r="L62" i="49" s="1"/>
  <c r="K23" i="53"/>
  <c r="L23" i="53"/>
  <c r="H26" i="49"/>
  <c r="H28" i="49" s="1"/>
  <c r="B31" i="50"/>
  <c r="H33" i="50"/>
  <c r="I33" i="50" s="1"/>
  <c r="J33" i="50" s="1"/>
  <c r="K33" i="50" s="1"/>
  <c r="L33" i="50" s="1"/>
  <c r="E6" i="35"/>
  <c r="C6" i="35"/>
  <c r="D6" i="35"/>
  <c r="B5" i="40"/>
  <c r="N15" i="40" s="1"/>
  <c r="F9" i="35"/>
  <c r="F6" i="35"/>
  <c r="L20" i="37"/>
  <c r="K20" i="37"/>
  <c r="J20" i="37"/>
  <c r="I20" i="37"/>
  <c r="D16" i="39"/>
  <c r="C55" i="38"/>
  <c r="C42" i="38"/>
  <c r="C47" i="47"/>
  <c r="C42" i="40"/>
  <c r="C55" i="40"/>
  <c r="D22" i="39"/>
  <c r="D50" i="39"/>
  <c r="B7" i="38"/>
  <c r="O23" i="38" s="1"/>
  <c r="O28" i="38" s="1"/>
  <c r="D39" i="37"/>
  <c r="D25" i="37" s="1"/>
  <c r="D49" i="37" s="1"/>
  <c r="C32" i="47"/>
  <c r="C38" i="37"/>
  <c r="E23" i="37"/>
  <c r="E24" i="37" s="1"/>
  <c r="F20" i="37"/>
  <c r="E20" i="37"/>
  <c r="F23" i="37"/>
  <c r="C35" i="47"/>
  <c r="N23" i="37"/>
  <c r="C84" i="47"/>
  <c r="C53" i="37"/>
  <c r="N24" i="52" l="1"/>
  <c r="N10" i="47"/>
  <c r="X14" i="50"/>
  <c r="X14" i="51"/>
  <c r="X14" i="53"/>
  <c r="X14" i="52"/>
  <c r="Y9" i="49"/>
  <c r="N28" i="51"/>
  <c r="N24" i="51"/>
  <c r="P28" i="52"/>
  <c r="P24" i="52"/>
  <c r="P19" i="49" s="1"/>
  <c r="N18" i="49"/>
  <c r="P28" i="53"/>
  <c r="P18" i="49"/>
  <c r="L28" i="51"/>
  <c r="I28" i="49"/>
  <c r="J28" i="49" s="1"/>
  <c r="K28" i="49" s="1"/>
  <c r="L28" i="49" s="1"/>
  <c r="K23" i="38"/>
  <c r="K28" i="38" s="1"/>
  <c r="B6" i="40"/>
  <c r="V15" i="40"/>
  <c r="V10" i="47" s="1"/>
  <c r="R15" i="40"/>
  <c r="R10" i="47" s="1"/>
  <c r="U15" i="40"/>
  <c r="U10" i="47" s="1"/>
  <c r="Q15" i="40"/>
  <c r="Q10" i="47" s="1"/>
  <c r="T15" i="40"/>
  <c r="T10" i="47" s="1"/>
  <c r="P15" i="40"/>
  <c r="S15" i="40"/>
  <c r="S10" i="47" s="1"/>
  <c r="O15" i="40"/>
  <c r="O10" i="47" s="1"/>
  <c r="B15" i="39"/>
  <c r="M10" i="47"/>
  <c r="N19" i="49"/>
  <c r="N28" i="53"/>
  <c r="Q23" i="39"/>
  <c r="Q28" i="39" s="1"/>
  <c r="K24" i="51"/>
  <c r="G15" i="49"/>
  <c r="G62" i="49" s="1"/>
  <c r="B7" i="40"/>
  <c r="Q23" i="40" s="1"/>
  <c r="Q28" i="40" s="1"/>
  <c r="J24" i="52"/>
  <c r="J19" i="49" s="1"/>
  <c r="K28" i="52"/>
  <c r="K24" i="52"/>
  <c r="Q28" i="53"/>
  <c r="Q23" i="49" s="1"/>
  <c r="Q18" i="49"/>
  <c r="Q24" i="53"/>
  <c r="Q19" i="49" s="1"/>
  <c r="M28" i="51"/>
  <c r="M23" i="49" s="1"/>
  <c r="M18" i="49"/>
  <c r="M24" i="51"/>
  <c r="M19" i="49" s="1"/>
  <c r="K28" i="50"/>
  <c r="K18" i="49"/>
  <c r="K24" i="50"/>
  <c r="G28" i="50"/>
  <c r="G23" i="49" s="1"/>
  <c r="G24" i="50"/>
  <c r="G18" i="49"/>
  <c r="N33" i="51"/>
  <c r="O32" i="51" s="1"/>
  <c r="O33" i="51" s="1"/>
  <c r="H24" i="51"/>
  <c r="B20" i="53"/>
  <c r="K15" i="49"/>
  <c r="K62" i="49" s="1"/>
  <c r="K21" i="53"/>
  <c r="I15" i="49"/>
  <c r="I62" i="49" s="1"/>
  <c r="B20" i="52"/>
  <c r="I21" i="52"/>
  <c r="O28" i="52"/>
  <c r="O18" i="49"/>
  <c r="O24" i="52"/>
  <c r="I28" i="50"/>
  <c r="I18" i="49"/>
  <c r="I24" i="50"/>
  <c r="L28" i="50"/>
  <c r="L18" i="49"/>
  <c r="L24" i="50"/>
  <c r="J18" i="49"/>
  <c r="B20" i="51"/>
  <c r="G21" i="51"/>
  <c r="M32" i="50"/>
  <c r="L24" i="53"/>
  <c r="R18" i="49"/>
  <c r="R24" i="53"/>
  <c r="R19" i="49" s="1"/>
  <c r="B23" i="52"/>
  <c r="I24" i="52"/>
  <c r="I22" i="52" s="1"/>
  <c r="I19" i="52" s="1"/>
  <c r="I49" i="52"/>
  <c r="I50" i="52" s="1"/>
  <c r="P33" i="52"/>
  <c r="Q32" i="52" s="1"/>
  <c r="R33" i="53"/>
  <c r="H28" i="50"/>
  <c r="H23" i="49" s="1"/>
  <c r="H18" i="49"/>
  <c r="H24" i="50"/>
  <c r="F24" i="50"/>
  <c r="F22" i="50" s="1"/>
  <c r="F19" i="50" s="1"/>
  <c r="F18" i="49"/>
  <c r="B23" i="50"/>
  <c r="B26" i="49"/>
  <c r="L28" i="52"/>
  <c r="L24" i="52"/>
  <c r="B23" i="51"/>
  <c r="G24" i="51"/>
  <c r="J23" i="49"/>
  <c r="K24" i="53"/>
  <c r="B23" i="53"/>
  <c r="K49" i="53"/>
  <c r="K50" i="53" s="1"/>
  <c r="F15" i="49"/>
  <c r="B20" i="50"/>
  <c r="F21" i="50"/>
  <c r="O28" i="53"/>
  <c r="O24" i="53"/>
  <c r="I28" i="51"/>
  <c r="I24" i="51"/>
  <c r="F10" i="35"/>
  <c r="B10" i="35" s="1"/>
  <c r="B9" i="35"/>
  <c r="F12" i="35"/>
  <c r="B12" i="35" s="1"/>
  <c r="L23" i="38"/>
  <c r="L28" i="38" s="1"/>
  <c r="M20" i="38"/>
  <c r="L20" i="38"/>
  <c r="N20" i="38"/>
  <c r="M28" i="39"/>
  <c r="F28" i="37"/>
  <c r="F23" i="47" s="1"/>
  <c r="F24" i="37"/>
  <c r="F19" i="47" s="1"/>
  <c r="C43" i="40"/>
  <c r="C44" i="40" s="1"/>
  <c r="D18" i="40" s="1"/>
  <c r="D30" i="39"/>
  <c r="D34" i="39" s="1"/>
  <c r="D35" i="39" s="1"/>
  <c r="C43" i="38"/>
  <c r="E19" i="47"/>
  <c r="C48" i="47"/>
  <c r="K20" i="40"/>
  <c r="G20" i="38"/>
  <c r="L20" i="40"/>
  <c r="I20" i="39"/>
  <c r="N23" i="39"/>
  <c r="O23" i="39"/>
  <c r="P23" i="39"/>
  <c r="M23" i="38"/>
  <c r="M28" i="38" s="1"/>
  <c r="K23" i="40"/>
  <c r="K24" i="40" s="1"/>
  <c r="J20" i="39"/>
  <c r="L23" i="39"/>
  <c r="K23" i="39"/>
  <c r="I23" i="39"/>
  <c r="I24" i="39" s="1"/>
  <c r="J23" i="39"/>
  <c r="J24" i="39" s="1"/>
  <c r="N23" i="38"/>
  <c r="N28" i="38" s="1"/>
  <c r="I23" i="38"/>
  <c r="H20" i="38"/>
  <c r="J23" i="38"/>
  <c r="H23" i="38"/>
  <c r="H24" i="38" s="1"/>
  <c r="G23" i="38"/>
  <c r="G24" i="38" s="1"/>
  <c r="D22" i="37"/>
  <c r="F18" i="47"/>
  <c r="E15" i="47"/>
  <c r="E62" i="47" s="1"/>
  <c r="F15" i="47"/>
  <c r="F62" i="47" s="1"/>
  <c r="E18" i="47"/>
  <c r="D20" i="47"/>
  <c r="D17" i="47" s="1"/>
  <c r="C33" i="47"/>
  <c r="L23" i="37"/>
  <c r="L28" i="37" s="1"/>
  <c r="I23" i="37"/>
  <c r="M23" i="37"/>
  <c r="J23" i="37"/>
  <c r="C70" i="47"/>
  <c r="C85" i="47"/>
  <c r="C41" i="37"/>
  <c r="C36" i="47" s="1"/>
  <c r="C40" i="47" s="1"/>
  <c r="C54" i="37"/>
  <c r="H20" i="37"/>
  <c r="G23" i="37"/>
  <c r="G20" i="37"/>
  <c r="H23" i="37"/>
  <c r="L20" i="39"/>
  <c r="K20" i="39"/>
  <c r="D51" i="39"/>
  <c r="J20" i="38"/>
  <c r="I20" i="38"/>
  <c r="K23" i="37"/>
  <c r="K28" i="37" s="1"/>
  <c r="N23" i="49" l="1"/>
  <c r="Y14" i="51"/>
  <c r="Y14" i="50"/>
  <c r="Y14" i="53"/>
  <c r="Z9" i="49"/>
  <c r="Y14" i="52"/>
  <c r="P23" i="49"/>
  <c r="L23" i="40"/>
  <c r="L24" i="40" s="1"/>
  <c r="O19" i="49"/>
  <c r="B15" i="40"/>
  <c r="P10" i="47"/>
  <c r="B10" i="47" s="1"/>
  <c r="Q23" i="47"/>
  <c r="F49" i="50"/>
  <c r="F44" i="49" s="1"/>
  <c r="F45" i="49" s="1"/>
  <c r="F46" i="49" s="1"/>
  <c r="N20" i="40"/>
  <c r="N15" i="47" s="1"/>
  <c r="N62" i="47" s="1"/>
  <c r="O23" i="40"/>
  <c r="O28" i="40" s="1"/>
  <c r="P23" i="40"/>
  <c r="P28" i="40" s="1"/>
  <c r="M20" i="40"/>
  <c r="M15" i="47" s="1"/>
  <c r="M62" i="47" s="1"/>
  <c r="R23" i="40"/>
  <c r="R28" i="40" s="1"/>
  <c r="R23" i="47" s="1"/>
  <c r="M23" i="40"/>
  <c r="M18" i="47" s="1"/>
  <c r="N23" i="40"/>
  <c r="N18" i="47" s="1"/>
  <c r="S23" i="40"/>
  <c r="S28" i="40" s="1"/>
  <c r="S23" i="47" s="1"/>
  <c r="B28" i="53"/>
  <c r="B28" i="51"/>
  <c r="B24" i="53"/>
  <c r="Q1" i="53" s="1"/>
  <c r="B24" i="51"/>
  <c r="Q1" i="51" s="1"/>
  <c r="F16" i="49"/>
  <c r="K51" i="53"/>
  <c r="G22" i="51"/>
  <c r="G19" i="51" s="1"/>
  <c r="B18" i="49"/>
  <c r="Q33" i="52"/>
  <c r="M27" i="49"/>
  <c r="L19" i="49"/>
  <c r="H19" i="49"/>
  <c r="G19" i="49"/>
  <c r="B28" i="50"/>
  <c r="K23" i="49"/>
  <c r="G49" i="51"/>
  <c r="F19" i="49"/>
  <c r="B24" i="50"/>
  <c r="Q1" i="50" s="1"/>
  <c r="I16" i="52"/>
  <c r="I23" i="49"/>
  <c r="F62" i="49"/>
  <c r="B62" i="49" s="1"/>
  <c r="B15" i="49"/>
  <c r="F14" i="49"/>
  <c r="F16" i="50"/>
  <c r="S32" i="53"/>
  <c r="S33" i="53" s="1"/>
  <c r="T32" i="53" s="1"/>
  <c r="I51" i="52"/>
  <c r="O23" i="49"/>
  <c r="P32" i="51"/>
  <c r="K19" i="49"/>
  <c r="B28" i="52"/>
  <c r="K22" i="53"/>
  <c r="K19" i="53" s="1"/>
  <c r="L23" i="49"/>
  <c r="B24" i="52"/>
  <c r="Q1" i="52" s="1"/>
  <c r="M33" i="50"/>
  <c r="N32" i="50" s="1"/>
  <c r="I19" i="49"/>
  <c r="B11" i="35"/>
  <c r="D36" i="39"/>
  <c r="D40" i="39" s="1"/>
  <c r="K28" i="39"/>
  <c r="K23" i="47" s="1"/>
  <c r="L28" i="39"/>
  <c r="L23" i="47" s="1"/>
  <c r="N28" i="39"/>
  <c r="P28" i="39"/>
  <c r="M28" i="40"/>
  <c r="M23" i="47" s="1"/>
  <c r="C38" i="47"/>
  <c r="C56" i="47" s="1"/>
  <c r="C55" i="47" s="1"/>
  <c r="O28" i="39"/>
  <c r="D16" i="40"/>
  <c r="D30" i="40" s="1"/>
  <c r="D34" i="40" s="1"/>
  <c r="D36" i="40" s="1"/>
  <c r="D48" i="40"/>
  <c r="D50" i="40" s="1"/>
  <c r="C44" i="38"/>
  <c r="D18" i="38" s="1"/>
  <c r="C49" i="47"/>
  <c r="I28" i="38"/>
  <c r="I28" i="37"/>
  <c r="H28" i="37"/>
  <c r="H23" i="47" s="1"/>
  <c r="J28" i="37"/>
  <c r="J28" i="38"/>
  <c r="G28" i="37"/>
  <c r="G23" i="47" s="1"/>
  <c r="B23" i="39"/>
  <c r="B23" i="38"/>
  <c r="D44" i="47"/>
  <c r="M31" i="37"/>
  <c r="T18" i="47"/>
  <c r="G18" i="47"/>
  <c r="B23" i="37"/>
  <c r="C86" i="47"/>
  <c r="I18" i="47"/>
  <c r="I15" i="47"/>
  <c r="I62" i="47" s="1"/>
  <c r="B20" i="38"/>
  <c r="B20" i="39"/>
  <c r="K15" i="47"/>
  <c r="K62" i="47" s="1"/>
  <c r="H15" i="47"/>
  <c r="H62" i="47" s="1"/>
  <c r="C45" i="37"/>
  <c r="C42" i="37"/>
  <c r="C44" i="37" s="1"/>
  <c r="J18" i="47"/>
  <c r="H18" i="47"/>
  <c r="C75" i="47"/>
  <c r="K18" i="47"/>
  <c r="D52" i="39"/>
  <c r="Q18" i="47"/>
  <c r="J15" i="47"/>
  <c r="J62" i="47" s="1"/>
  <c r="L15" i="47"/>
  <c r="L62" i="47" s="1"/>
  <c r="B20" i="37"/>
  <c r="G15" i="47"/>
  <c r="C55" i="37"/>
  <c r="C50" i="47" s="1"/>
  <c r="L18" i="47" l="1"/>
  <c r="Z14" i="51"/>
  <c r="Z14" i="50"/>
  <c r="Z14" i="53"/>
  <c r="Z14" i="52"/>
  <c r="N28" i="40"/>
  <c r="N23" i="47" s="1"/>
  <c r="F50" i="50"/>
  <c r="F51" i="50" s="1"/>
  <c r="F52" i="50" s="1"/>
  <c r="R18" i="47"/>
  <c r="P18" i="47"/>
  <c r="O18" i="47"/>
  <c r="B20" i="40"/>
  <c r="B23" i="40"/>
  <c r="S18" i="47"/>
  <c r="B23" i="49"/>
  <c r="T33" i="53"/>
  <c r="F30" i="50"/>
  <c r="F34" i="50" s="1"/>
  <c r="B19" i="49"/>
  <c r="G16" i="51"/>
  <c r="I52" i="52"/>
  <c r="F61" i="49"/>
  <c r="F11" i="49"/>
  <c r="R32" i="52"/>
  <c r="P33" i="51"/>
  <c r="I30" i="52"/>
  <c r="I34" i="52" s="1"/>
  <c r="F17" i="49"/>
  <c r="N33" i="50"/>
  <c r="N27" i="49"/>
  <c r="K16" i="53"/>
  <c r="G50" i="51"/>
  <c r="M28" i="49"/>
  <c r="K52" i="53"/>
  <c r="D37" i="39"/>
  <c r="E26" i="39" s="1"/>
  <c r="E21" i="39" s="1"/>
  <c r="C65" i="47"/>
  <c r="C66" i="47" s="1"/>
  <c r="C74" i="47"/>
  <c r="O23" i="47"/>
  <c r="B28" i="39"/>
  <c r="P23" i="47"/>
  <c r="B28" i="40"/>
  <c r="C76" i="47"/>
  <c r="D35" i="40"/>
  <c r="D16" i="38"/>
  <c r="D30" i="38" s="1"/>
  <c r="D34" i="38" s="1"/>
  <c r="D48" i="38"/>
  <c r="D50" i="38" s="1"/>
  <c r="D51" i="38" s="1"/>
  <c r="D52" i="38" s="1"/>
  <c r="D53" i="38" s="1"/>
  <c r="B28" i="38"/>
  <c r="I23" i="47"/>
  <c r="D51" i="40"/>
  <c r="D52" i="40" s="1"/>
  <c r="D53" i="40" s="1"/>
  <c r="J23" i="47"/>
  <c r="N31" i="37"/>
  <c r="C37" i="47"/>
  <c r="C39" i="47" s="1"/>
  <c r="D53" i="39"/>
  <c r="G62" i="47"/>
  <c r="B62" i="47" s="1"/>
  <c r="B15" i="47"/>
  <c r="D18" i="37"/>
  <c r="D13" i="47" s="1"/>
  <c r="D11" i="47" s="1"/>
  <c r="E39" i="39" l="1"/>
  <c r="E25" i="39" s="1"/>
  <c r="U32" i="53"/>
  <c r="Q32" i="51"/>
  <c r="B18" i="47"/>
  <c r="D38" i="39"/>
  <c r="F25" i="49"/>
  <c r="F29" i="49" s="1"/>
  <c r="F36" i="50"/>
  <c r="F31" i="49" s="1"/>
  <c r="F35" i="50"/>
  <c r="N28" i="49"/>
  <c r="I35" i="52"/>
  <c r="I36" i="52"/>
  <c r="G30" i="51"/>
  <c r="G34" i="51" s="1"/>
  <c r="K53" i="53"/>
  <c r="G51" i="51"/>
  <c r="O32" i="50"/>
  <c r="O33" i="50" s="1"/>
  <c r="F53" i="50"/>
  <c r="F47" i="49"/>
  <c r="K30" i="53"/>
  <c r="K34" i="53" s="1"/>
  <c r="R33" i="52"/>
  <c r="I53" i="52"/>
  <c r="C67" i="47"/>
  <c r="C69" i="47" s="1"/>
  <c r="C71" i="47" s="1"/>
  <c r="C73" i="47" s="1"/>
  <c r="D57" i="47" s="1"/>
  <c r="D79" i="47" s="1"/>
  <c r="D37" i="40"/>
  <c r="D40" i="40"/>
  <c r="D36" i="38"/>
  <c r="D35" i="38"/>
  <c r="B23" i="47"/>
  <c r="E27" i="39"/>
  <c r="D48" i="37"/>
  <c r="D16" i="37"/>
  <c r="D41" i="40"/>
  <c r="D54" i="40"/>
  <c r="D41" i="39"/>
  <c r="D54" i="39"/>
  <c r="D41" i="38"/>
  <c r="D54" i="38"/>
  <c r="E49" i="39" l="1"/>
  <c r="U27" i="49"/>
  <c r="U33" i="53"/>
  <c r="S32" i="52"/>
  <c r="Q27" i="49"/>
  <c r="Q33" i="51"/>
  <c r="P32" i="50"/>
  <c r="P27" i="49" s="1"/>
  <c r="F40" i="50"/>
  <c r="G52" i="51"/>
  <c r="K35" i="53"/>
  <c r="K36" i="53"/>
  <c r="O27" i="49"/>
  <c r="G36" i="51"/>
  <c r="G35" i="51"/>
  <c r="I41" i="52"/>
  <c r="I54" i="52"/>
  <c r="K41" i="53"/>
  <c r="K54" i="53"/>
  <c r="F30" i="49"/>
  <c r="F35" i="49" s="1"/>
  <c r="F37" i="50"/>
  <c r="F41" i="50"/>
  <c r="F48" i="49"/>
  <c r="F54" i="50"/>
  <c r="I40" i="52"/>
  <c r="I37" i="52"/>
  <c r="C68" i="47"/>
  <c r="D63" i="47" s="1"/>
  <c r="D80" i="47" s="1"/>
  <c r="D81" i="47" s="1"/>
  <c r="D38" i="40"/>
  <c r="E39" i="40"/>
  <c r="E25" i="40" s="1"/>
  <c r="E26" i="40"/>
  <c r="D37" i="38"/>
  <c r="D38" i="38" s="1"/>
  <c r="D40" i="38"/>
  <c r="D42" i="38" s="1"/>
  <c r="D43" i="47"/>
  <c r="E22" i="39"/>
  <c r="D50" i="37"/>
  <c r="D45" i="39"/>
  <c r="D42" i="39"/>
  <c r="D55" i="38"/>
  <c r="D45" i="38"/>
  <c r="D45" i="40"/>
  <c r="D42" i="40"/>
  <c r="Q32" i="37"/>
  <c r="D55" i="40"/>
  <c r="D55" i="39"/>
  <c r="P33" i="50" l="1"/>
  <c r="Q33" i="50" s="1"/>
  <c r="R33" i="50" s="1"/>
  <c r="S33" i="50" s="1"/>
  <c r="T33" i="50" s="1"/>
  <c r="U33" i="50" s="1"/>
  <c r="V33" i="50" s="1"/>
  <c r="W33" i="50" s="1"/>
  <c r="X33" i="50" s="1"/>
  <c r="Y33" i="50" s="1"/>
  <c r="Z33" i="50" s="1"/>
  <c r="V32" i="53"/>
  <c r="V33" i="53" s="1"/>
  <c r="W33" i="53" s="1"/>
  <c r="X33" i="53" s="1"/>
  <c r="Y33" i="53" s="1"/>
  <c r="Z33" i="53" s="1"/>
  <c r="R32" i="51"/>
  <c r="S27" i="49"/>
  <c r="S33" i="52"/>
  <c r="B32" i="50"/>
  <c r="G40" i="51"/>
  <c r="K40" i="53"/>
  <c r="K42" i="53" s="1"/>
  <c r="K43" i="53" s="1"/>
  <c r="K44" i="53" s="1"/>
  <c r="L18" i="53" s="1"/>
  <c r="I42" i="52"/>
  <c r="I43" i="52" s="1"/>
  <c r="I44" i="52" s="1"/>
  <c r="J18" i="52" s="1"/>
  <c r="F55" i="50"/>
  <c r="F50" i="49" s="1"/>
  <c r="F49" i="49"/>
  <c r="K45" i="53"/>
  <c r="O28" i="49"/>
  <c r="P28" i="49" s="1"/>
  <c r="Q28" i="49" s="1"/>
  <c r="I55" i="52"/>
  <c r="G37" i="51"/>
  <c r="J39" i="52"/>
  <c r="J25" i="52" s="1"/>
  <c r="I38" i="52"/>
  <c r="J26" i="52"/>
  <c r="F36" i="49"/>
  <c r="F40" i="49" s="1"/>
  <c r="F45" i="50"/>
  <c r="K55" i="53"/>
  <c r="G53" i="51"/>
  <c r="G39" i="50"/>
  <c r="G25" i="50" s="1"/>
  <c r="G20" i="49" s="1"/>
  <c r="F38" i="50"/>
  <c r="F33" i="49" s="1"/>
  <c r="F32" i="49"/>
  <c r="G26" i="50"/>
  <c r="I45" i="52"/>
  <c r="K37" i="53"/>
  <c r="F42" i="50"/>
  <c r="F44" i="50" s="1"/>
  <c r="G18" i="50" s="1"/>
  <c r="D60" i="47"/>
  <c r="E26" i="38"/>
  <c r="E27" i="38" s="1"/>
  <c r="E39" i="38"/>
  <c r="E25" i="38" s="1"/>
  <c r="E27" i="40"/>
  <c r="E49" i="40" s="1"/>
  <c r="E21" i="40"/>
  <c r="D43" i="40"/>
  <c r="D44" i="40" s="1"/>
  <c r="E18" i="40" s="1"/>
  <c r="D43" i="39"/>
  <c r="D44" i="39" s="1"/>
  <c r="E18" i="39" s="1"/>
  <c r="D43" i="38"/>
  <c r="P31" i="38"/>
  <c r="D30" i="37"/>
  <c r="D34" i="37" s="1"/>
  <c r="D36" i="37" s="1"/>
  <c r="D31" i="47" s="1"/>
  <c r="D25" i="47"/>
  <c r="D29" i="47" s="1"/>
  <c r="D51" i="37"/>
  <c r="D45" i="47"/>
  <c r="R32" i="37"/>
  <c r="D82" i="47"/>
  <c r="V27" i="49" l="1"/>
  <c r="B32" i="53"/>
  <c r="T32" i="52"/>
  <c r="R27" i="49"/>
  <c r="B32" i="51"/>
  <c r="R33" i="51"/>
  <c r="S33" i="51" s="1"/>
  <c r="T33" i="51" s="1"/>
  <c r="U33" i="51" s="1"/>
  <c r="V33" i="51" s="1"/>
  <c r="W33" i="51" s="1"/>
  <c r="X33" i="51" s="1"/>
  <c r="Y33" i="51" s="1"/>
  <c r="Z33" i="51" s="1"/>
  <c r="G48" i="50"/>
  <c r="G43" i="49" s="1"/>
  <c r="G13" i="49"/>
  <c r="G41" i="51"/>
  <c r="G54" i="51"/>
  <c r="H39" i="51"/>
  <c r="H25" i="51" s="1"/>
  <c r="G38" i="51"/>
  <c r="H26" i="51"/>
  <c r="F37" i="49"/>
  <c r="F39" i="49" s="1"/>
  <c r="G27" i="50"/>
  <c r="G22" i="49" s="1"/>
  <c r="G59" i="49" s="1"/>
  <c r="G21" i="49"/>
  <c r="G58" i="49" s="1"/>
  <c r="G21" i="50"/>
  <c r="G16" i="49" s="1"/>
  <c r="L39" i="53"/>
  <c r="L25" i="53" s="1"/>
  <c r="K38" i="53"/>
  <c r="L26" i="53"/>
  <c r="J48" i="52"/>
  <c r="L48" i="53"/>
  <c r="J27" i="52"/>
  <c r="J49" i="52" s="1"/>
  <c r="J21" i="52"/>
  <c r="E21" i="38"/>
  <c r="E22" i="40"/>
  <c r="D38" i="47"/>
  <c r="D56" i="47" s="1"/>
  <c r="D55" i="47" s="1"/>
  <c r="E22" i="38"/>
  <c r="E49" i="38"/>
  <c r="D44" i="38"/>
  <c r="E18" i="38" s="1"/>
  <c r="E48" i="38" s="1"/>
  <c r="D35" i="37"/>
  <c r="D30" i="47" s="1"/>
  <c r="R31" i="39"/>
  <c r="S32" i="37"/>
  <c r="D83" i="47"/>
  <c r="E16" i="40"/>
  <c r="E48" i="40"/>
  <c r="D46" i="47"/>
  <c r="D52" i="37"/>
  <c r="E48" i="39"/>
  <c r="E16" i="39"/>
  <c r="T27" i="49" l="1"/>
  <c r="B27" i="49" s="1"/>
  <c r="B32" i="52"/>
  <c r="T33" i="52"/>
  <c r="U33" i="52" s="1"/>
  <c r="V33" i="52" s="1"/>
  <c r="W33" i="52" s="1"/>
  <c r="X33" i="52" s="1"/>
  <c r="Y33" i="52" s="1"/>
  <c r="Z33" i="52" s="1"/>
  <c r="R28" i="49"/>
  <c r="S28" i="49" s="1"/>
  <c r="H27" i="51"/>
  <c r="H22" i="51" s="1"/>
  <c r="H19" i="51" s="1"/>
  <c r="H21" i="51"/>
  <c r="G55" i="51"/>
  <c r="J50" i="52"/>
  <c r="J22" i="52"/>
  <c r="J19" i="52" s="1"/>
  <c r="L27" i="53"/>
  <c r="L22" i="53" s="1"/>
  <c r="L19" i="53" s="1"/>
  <c r="L21" i="53"/>
  <c r="G45" i="51"/>
  <c r="G42" i="51"/>
  <c r="G43" i="51" s="1"/>
  <c r="D76" i="47"/>
  <c r="E16" i="38"/>
  <c r="E30" i="38" s="1"/>
  <c r="E34" i="38" s="1"/>
  <c r="D65" i="47"/>
  <c r="D66" i="47" s="1"/>
  <c r="D47" i="47"/>
  <c r="D40" i="37"/>
  <c r="D37" i="37"/>
  <c r="E39" i="37" s="1"/>
  <c r="E25" i="37" s="1"/>
  <c r="T32" i="37"/>
  <c r="E50" i="39"/>
  <c r="E50" i="38"/>
  <c r="E30" i="40"/>
  <c r="E34" i="40" s="1"/>
  <c r="E50" i="40"/>
  <c r="D84" i="47"/>
  <c r="D53" i="37"/>
  <c r="E30" i="39"/>
  <c r="E34" i="39" s="1"/>
  <c r="D35" i="47"/>
  <c r="T28" i="49" l="1"/>
  <c r="U28" i="49" s="1"/>
  <c r="V28" i="49" s="1"/>
  <c r="L49" i="53"/>
  <c r="L50" i="53" s="1"/>
  <c r="L51" i="53" s="1"/>
  <c r="G44" i="51"/>
  <c r="G38" i="49"/>
  <c r="G56" i="49" s="1"/>
  <c r="L14" i="49"/>
  <c r="L61" i="49" s="1"/>
  <c r="L16" i="53"/>
  <c r="H49" i="51"/>
  <c r="J16" i="52"/>
  <c r="J51" i="52"/>
  <c r="D67" i="47"/>
  <c r="D69" i="47" s="1"/>
  <c r="D48" i="47"/>
  <c r="E26" i="37"/>
  <c r="E21" i="47" s="1"/>
  <c r="D38" i="37"/>
  <c r="D33" i="47" s="1"/>
  <c r="D32" i="47"/>
  <c r="T17" i="38"/>
  <c r="T24" i="38" s="1"/>
  <c r="E20" i="47"/>
  <c r="U17" i="38"/>
  <c r="U24" i="38" s="1"/>
  <c r="U32" i="38"/>
  <c r="D41" i="37"/>
  <c r="D36" i="47" s="1"/>
  <c r="D40" i="47" s="1"/>
  <c r="D54" i="37"/>
  <c r="E51" i="39"/>
  <c r="E51" i="40"/>
  <c r="E36" i="40"/>
  <c r="E36" i="39"/>
  <c r="E40" i="39" s="1"/>
  <c r="D70" i="47"/>
  <c r="D74" i="47" s="1"/>
  <c r="D85" i="47"/>
  <c r="E36" i="38"/>
  <c r="E51" i="38"/>
  <c r="H18" i="51" l="1"/>
  <c r="L30" i="53"/>
  <c r="L34" i="53" s="1"/>
  <c r="L52" i="53"/>
  <c r="J52" i="52"/>
  <c r="J30" i="52"/>
  <c r="J34" i="52" s="1"/>
  <c r="D68" i="47"/>
  <c r="E63" i="47" s="1"/>
  <c r="E80" i="47" s="1"/>
  <c r="D49" i="47"/>
  <c r="E21" i="37"/>
  <c r="E16" i="47" s="1"/>
  <c r="T31" i="40"/>
  <c r="E27" i="37"/>
  <c r="V17" i="38"/>
  <c r="V24" i="38" s="1"/>
  <c r="V32" i="38"/>
  <c r="E37" i="38"/>
  <c r="E37" i="40"/>
  <c r="D45" i="37"/>
  <c r="D42" i="37"/>
  <c r="D44" i="37" s="1"/>
  <c r="D86" i="47"/>
  <c r="E37" i="39"/>
  <c r="E58" i="47"/>
  <c r="D55" i="37"/>
  <c r="D50" i="47" s="1"/>
  <c r="E52" i="40"/>
  <c r="E52" i="38"/>
  <c r="E40" i="38"/>
  <c r="D75" i="47"/>
  <c r="D71" i="47"/>
  <c r="D73" i="47" s="1"/>
  <c r="E57" i="47" s="1"/>
  <c r="E40" i="40"/>
  <c r="E52" i="39"/>
  <c r="L35" i="53" l="1"/>
  <c r="L36" i="53"/>
  <c r="J53" i="52"/>
  <c r="J36" i="52"/>
  <c r="J35" i="52"/>
  <c r="L53" i="53"/>
  <c r="H48" i="51"/>
  <c r="H16" i="51"/>
  <c r="T26" i="47"/>
  <c r="E22" i="37"/>
  <c r="E49" i="37"/>
  <c r="E22" i="47"/>
  <c r="E17" i="47" s="1"/>
  <c r="F39" i="40"/>
  <c r="F25" i="40" s="1"/>
  <c r="F26" i="40"/>
  <c r="F39" i="39"/>
  <c r="F25" i="39" s="1"/>
  <c r="F26" i="39"/>
  <c r="F39" i="38"/>
  <c r="F25" i="38" s="1"/>
  <c r="F26" i="38"/>
  <c r="V17" i="39"/>
  <c r="V24" i="39" s="1"/>
  <c r="W17" i="39"/>
  <c r="W24" i="39" s="1"/>
  <c r="E53" i="39"/>
  <c r="E53" i="40"/>
  <c r="E18" i="37"/>
  <c r="E13" i="47" s="1"/>
  <c r="E38" i="38"/>
  <c r="E38" i="39"/>
  <c r="D37" i="47"/>
  <c r="D39" i="47" s="1"/>
  <c r="E53" i="38"/>
  <c r="E38" i="40"/>
  <c r="J40" i="52" l="1"/>
  <c r="L40" i="53"/>
  <c r="H30" i="51"/>
  <c r="H34" i="51" s="1"/>
  <c r="J41" i="52"/>
  <c r="J54" i="52"/>
  <c r="H50" i="51"/>
  <c r="J37" i="52"/>
  <c r="L41" i="53"/>
  <c r="L54" i="53"/>
  <c r="L37" i="53"/>
  <c r="E44" i="47"/>
  <c r="E59" i="47"/>
  <c r="F27" i="40"/>
  <c r="F49" i="40" s="1"/>
  <c r="F27" i="39"/>
  <c r="F49" i="39" s="1"/>
  <c r="F27" i="38"/>
  <c r="F22" i="38" s="1"/>
  <c r="W17" i="40"/>
  <c r="W24" i="40" s="1"/>
  <c r="X17" i="39"/>
  <c r="X24" i="39" s="1"/>
  <c r="F21" i="39"/>
  <c r="E41" i="40"/>
  <c r="E54" i="40"/>
  <c r="E41" i="39"/>
  <c r="E54" i="39"/>
  <c r="F21" i="38"/>
  <c r="E41" i="38"/>
  <c r="E54" i="38"/>
  <c r="E48" i="37"/>
  <c r="F21" i="40"/>
  <c r="J38" i="52" l="1"/>
  <c r="K39" i="52"/>
  <c r="K25" i="52" s="1"/>
  <c r="K26" i="52"/>
  <c r="J55" i="52"/>
  <c r="M39" i="53"/>
  <c r="M25" i="53" s="1"/>
  <c r="L38" i="53"/>
  <c r="M26" i="53"/>
  <c r="L45" i="53"/>
  <c r="J45" i="52"/>
  <c r="L42" i="53"/>
  <c r="L43" i="53" s="1"/>
  <c r="L44" i="53" s="1"/>
  <c r="L55" i="53"/>
  <c r="H51" i="51"/>
  <c r="H36" i="51"/>
  <c r="H35" i="51"/>
  <c r="J42" i="52"/>
  <c r="J43" i="52" s="1"/>
  <c r="J44" i="52" s="1"/>
  <c r="E43" i="47"/>
  <c r="E79" i="47"/>
  <c r="E81" i="47" s="1"/>
  <c r="F49" i="38"/>
  <c r="F22" i="40"/>
  <c r="F22" i="39"/>
  <c r="W12" i="47"/>
  <c r="X17" i="40"/>
  <c r="X24" i="40" s="1"/>
  <c r="Y17" i="40"/>
  <c r="Y24" i="40" s="1"/>
  <c r="E50" i="37"/>
  <c r="E55" i="40"/>
  <c r="E45" i="39"/>
  <c r="E42" i="39"/>
  <c r="E55" i="39"/>
  <c r="E55" i="38"/>
  <c r="E45" i="38"/>
  <c r="E42" i="38"/>
  <c r="E45" i="40"/>
  <c r="E42" i="40"/>
  <c r="H40" i="51" l="1"/>
  <c r="K18" i="52"/>
  <c r="H52" i="51"/>
  <c r="K27" i="52"/>
  <c r="K21" i="52"/>
  <c r="M18" i="53"/>
  <c r="H37" i="51"/>
  <c r="M27" i="53"/>
  <c r="M21" i="53"/>
  <c r="E43" i="40"/>
  <c r="E44" i="40" s="1"/>
  <c r="F18" i="40" s="1"/>
  <c r="E43" i="39"/>
  <c r="E44" i="39" s="1"/>
  <c r="F18" i="39" s="1"/>
  <c r="E43" i="38"/>
  <c r="X12" i="47"/>
  <c r="Z17" i="40"/>
  <c r="Z24" i="40" s="1"/>
  <c r="Y12" i="47"/>
  <c r="E82" i="47"/>
  <c r="E51" i="37"/>
  <c r="E45" i="47"/>
  <c r="I39" i="51" l="1"/>
  <c r="I25" i="51" s="1"/>
  <c r="H38" i="51"/>
  <c r="I26" i="51"/>
  <c r="M48" i="53"/>
  <c r="K48" i="52"/>
  <c r="H53" i="51"/>
  <c r="E38" i="47"/>
  <c r="E56" i="47" s="1"/>
  <c r="E55" i="47" s="1"/>
  <c r="E44" i="38"/>
  <c r="F18" i="38" s="1"/>
  <c r="F16" i="38" s="1"/>
  <c r="Z12" i="47"/>
  <c r="F16" i="40"/>
  <c r="F48" i="40"/>
  <c r="F16" i="39"/>
  <c r="F48" i="39"/>
  <c r="E83" i="47"/>
  <c r="E46" i="47"/>
  <c r="E52" i="37"/>
  <c r="M29" i="53" l="1"/>
  <c r="I27" i="51"/>
  <c r="I21" i="51"/>
  <c r="H41" i="51"/>
  <c r="H54" i="51"/>
  <c r="K29" i="52"/>
  <c r="E76" i="47"/>
  <c r="F48" i="38"/>
  <c r="F50" i="38" s="1"/>
  <c r="E47" i="47"/>
  <c r="F30" i="39"/>
  <c r="F34" i="39" s="1"/>
  <c r="E53" i="37"/>
  <c r="E84" i="47"/>
  <c r="F50" i="40"/>
  <c r="F30" i="38"/>
  <c r="F34" i="38" s="1"/>
  <c r="F50" i="39"/>
  <c r="F30" i="40"/>
  <c r="F34" i="40" s="1"/>
  <c r="K22" i="52" l="1"/>
  <c r="K49" i="52"/>
  <c r="K50" i="52" s="1"/>
  <c r="H45" i="51"/>
  <c r="H42" i="51"/>
  <c r="M49" i="53"/>
  <c r="M50" i="53" s="1"/>
  <c r="M22" i="53"/>
  <c r="H55" i="51"/>
  <c r="E48" i="47"/>
  <c r="E70" i="47"/>
  <c r="E85" i="47"/>
  <c r="F51" i="38"/>
  <c r="F36" i="39"/>
  <c r="F37" i="39" s="1"/>
  <c r="F36" i="40"/>
  <c r="F51" i="39"/>
  <c r="F36" i="38"/>
  <c r="F37" i="38" s="1"/>
  <c r="F51" i="40"/>
  <c r="E41" i="37"/>
  <c r="E36" i="47" s="1"/>
  <c r="E54" i="37"/>
  <c r="M19" i="53" l="1"/>
  <c r="K19" i="52"/>
  <c r="K51" i="52"/>
  <c r="H43" i="51"/>
  <c r="M51" i="53"/>
  <c r="E49" i="47"/>
  <c r="G39" i="39"/>
  <c r="G25" i="39" s="1"/>
  <c r="G26" i="39"/>
  <c r="G39" i="38"/>
  <c r="G25" i="38" s="1"/>
  <c r="G26" i="38"/>
  <c r="F52" i="39"/>
  <c r="F38" i="39"/>
  <c r="E86" i="47"/>
  <c r="E55" i="37"/>
  <c r="E50" i="47" s="1"/>
  <c r="F40" i="38"/>
  <c r="F40" i="39"/>
  <c r="F52" i="38"/>
  <c r="F37" i="40"/>
  <c r="F52" i="40"/>
  <c r="F38" i="38"/>
  <c r="F40" i="40"/>
  <c r="M14" i="49" l="1"/>
  <c r="M61" i="49" s="1"/>
  <c r="B19" i="53"/>
  <c r="M16" i="53"/>
  <c r="M30" i="53" s="1"/>
  <c r="M34" i="53" s="1"/>
  <c r="K14" i="49"/>
  <c r="K61" i="49" s="1"/>
  <c r="B19" i="52"/>
  <c r="K16" i="52"/>
  <c r="K30" i="52" s="1"/>
  <c r="K34" i="52" s="1"/>
  <c r="H38" i="49"/>
  <c r="H56" i="49" s="1"/>
  <c r="K52" i="52"/>
  <c r="M52" i="53"/>
  <c r="H44" i="51"/>
  <c r="G39" i="40"/>
  <c r="G25" i="40" s="1"/>
  <c r="G26" i="40"/>
  <c r="G27" i="39"/>
  <c r="G22" i="39" s="1"/>
  <c r="G27" i="38"/>
  <c r="G22" i="38" s="1"/>
  <c r="G21" i="38"/>
  <c r="F38" i="40"/>
  <c r="G21" i="39"/>
  <c r="F53" i="38"/>
  <c r="F53" i="40"/>
  <c r="F53" i="39"/>
  <c r="M36" i="53" l="1"/>
  <c r="M35" i="53"/>
  <c r="K36" i="52"/>
  <c r="K35" i="52"/>
  <c r="M53" i="53"/>
  <c r="I18" i="51"/>
  <c r="K53" i="52"/>
  <c r="G49" i="38"/>
  <c r="G49" i="39"/>
  <c r="G27" i="40"/>
  <c r="G49" i="40" s="1"/>
  <c r="G19" i="38"/>
  <c r="G21" i="40"/>
  <c r="F41" i="40"/>
  <c r="F54" i="40"/>
  <c r="F41" i="39"/>
  <c r="F54" i="39"/>
  <c r="F41" i="38"/>
  <c r="F54" i="38"/>
  <c r="K37" i="52" l="1"/>
  <c r="K38" i="52" s="1"/>
  <c r="M40" i="53"/>
  <c r="M37" i="53"/>
  <c r="K40" i="52"/>
  <c r="K41" i="52"/>
  <c r="K54" i="52"/>
  <c r="I48" i="51"/>
  <c r="M41" i="53"/>
  <c r="M54" i="53"/>
  <c r="G22" i="40"/>
  <c r="F55" i="40"/>
  <c r="F55" i="39"/>
  <c r="F55" i="38"/>
  <c r="F45" i="38"/>
  <c r="F42" i="38"/>
  <c r="F45" i="40"/>
  <c r="F42" i="40"/>
  <c r="F45" i="39"/>
  <c r="F42" i="39"/>
  <c r="L39" i="52" l="1"/>
  <c r="L25" i="52" s="1"/>
  <c r="L26" i="52"/>
  <c r="L27" i="52" s="1"/>
  <c r="M38" i="53"/>
  <c r="N26" i="53"/>
  <c r="N39" i="53"/>
  <c r="N25" i="53" s="1"/>
  <c r="M45" i="53"/>
  <c r="M42" i="53"/>
  <c r="M43" i="53" s="1"/>
  <c r="M44" i="53" s="1"/>
  <c r="I29" i="51"/>
  <c r="K55" i="52"/>
  <c r="M55" i="53"/>
  <c r="K45" i="52"/>
  <c r="K42" i="52"/>
  <c r="K43" i="52" s="1"/>
  <c r="K44" i="52" s="1"/>
  <c r="F43" i="40"/>
  <c r="F44" i="40" s="1"/>
  <c r="G18" i="40" s="1"/>
  <c r="F43" i="39"/>
  <c r="F44" i="39" s="1"/>
  <c r="G18" i="39" s="1"/>
  <c r="F43" i="38"/>
  <c r="L21" i="52" l="1"/>
  <c r="N27" i="53"/>
  <c r="N21" i="53"/>
  <c r="L18" i="52"/>
  <c r="N18" i="53"/>
  <c r="I22" i="51"/>
  <c r="I19" i="51" s="1"/>
  <c r="I49" i="51"/>
  <c r="F38" i="47"/>
  <c r="F56" i="47" s="1"/>
  <c r="F44" i="38"/>
  <c r="G18" i="38" s="1"/>
  <c r="G16" i="38" s="1"/>
  <c r="G16" i="39"/>
  <c r="G48" i="39"/>
  <c r="G48" i="40"/>
  <c r="G16" i="40"/>
  <c r="B19" i="51" l="1"/>
  <c r="I16" i="51"/>
  <c r="I30" i="51" s="1"/>
  <c r="I34" i="51" s="1"/>
  <c r="N48" i="53"/>
  <c r="N16" i="53"/>
  <c r="I50" i="51"/>
  <c r="L16" i="52"/>
  <c r="L48" i="52"/>
  <c r="G48" i="38"/>
  <c r="G50" i="38" s="1"/>
  <c r="G30" i="39"/>
  <c r="G34" i="39" s="1"/>
  <c r="G30" i="40"/>
  <c r="G34" i="40" s="1"/>
  <c r="G30" i="38"/>
  <c r="G34" i="38" s="1"/>
  <c r="G35" i="38" s="1"/>
  <c r="G50" i="40"/>
  <c r="G50" i="39"/>
  <c r="L29" i="52" l="1"/>
  <c r="I36" i="51"/>
  <c r="I35" i="51"/>
  <c r="N29" i="53"/>
  <c r="I51" i="51"/>
  <c r="G51" i="39"/>
  <c r="G36" i="38"/>
  <c r="G37" i="38" s="1"/>
  <c r="G51" i="38"/>
  <c r="G36" i="39"/>
  <c r="G37" i="39" s="1"/>
  <c r="G51" i="40"/>
  <c r="G36" i="40"/>
  <c r="G40" i="40" s="1"/>
  <c r="I40" i="51" l="1"/>
  <c r="N22" i="53"/>
  <c r="N30" i="53" s="1"/>
  <c r="N34" i="53" s="1"/>
  <c r="N49" i="53"/>
  <c r="N50" i="53" s="1"/>
  <c r="L49" i="52"/>
  <c r="L50" i="52" s="1"/>
  <c r="L22" i="52"/>
  <c r="L30" i="52" s="1"/>
  <c r="L34" i="52" s="1"/>
  <c r="I52" i="51"/>
  <c r="I37" i="51"/>
  <c r="H39" i="39"/>
  <c r="H25" i="39" s="1"/>
  <c r="H26" i="39"/>
  <c r="H39" i="38"/>
  <c r="H25" i="38" s="1"/>
  <c r="H26" i="38"/>
  <c r="G40" i="39"/>
  <c r="G38" i="39"/>
  <c r="G52" i="38"/>
  <c r="G40" i="38"/>
  <c r="G38" i="38"/>
  <c r="G37" i="40"/>
  <c r="G52" i="40"/>
  <c r="G52" i="39"/>
  <c r="I38" i="51" l="1"/>
  <c r="J39" i="51"/>
  <c r="J25" i="51" s="1"/>
  <c r="J26" i="51"/>
  <c r="L36" i="52"/>
  <c r="L35" i="52"/>
  <c r="N51" i="53"/>
  <c r="L51" i="52"/>
  <c r="N36" i="53"/>
  <c r="N35" i="53"/>
  <c r="I53" i="51"/>
  <c r="H39" i="40"/>
  <c r="H25" i="40" s="1"/>
  <c r="H26" i="40"/>
  <c r="H27" i="39"/>
  <c r="H22" i="39" s="1"/>
  <c r="H27" i="38"/>
  <c r="H49" i="38" s="1"/>
  <c r="G53" i="40"/>
  <c r="H21" i="39"/>
  <c r="H21" i="38"/>
  <c r="G53" i="39"/>
  <c r="G38" i="40"/>
  <c r="G53" i="38"/>
  <c r="N40" i="53" l="1"/>
  <c r="L40" i="52"/>
  <c r="J27" i="51"/>
  <c r="J21" i="51"/>
  <c r="N37" i="53"/>
  <c r="N52" i="53"/>
  <c r="L37" i="52"/>
  <c r="I41" i="51"/>
  <c r="I54" i="51"/>
  <c r="L52" i="52"/>
  <c r="H49" i="39"/>
  <c r="H27" i="40"/>
  <c r="H22" i="40" s="1"/>
  <c r="H22" i="38"/>
  <c r="H19" i="38" s="1"/>
  <c r="G41" i="39"/>
  <c r="G54" i="39"/>
  <c r="G41" i="38"/>
  <c r="G54" i="38"/>
  <c r="H21" i="40"/>
  <c r="G41" i="40"/>
  <c r="G54" i="40"/>
  <c r="N53" i="53" l="1"/>
  <c r="I45" i="51"/>
  <c r="I42" i="51"/>
  <c r="L53" i="52"/>
  <c r="N38" i="53"/>
  <c r="O39" i="53"/>
  <c r="O25" i="53" s="1"/>
  <c r="O26" i="53"/>
  <c r="I55" i="51"/>
  <c r="M39" i="52"/>
  <c r="M25" i="52" s="1"/>
  <c r="L38" i="52"/>
  <c r="M26" i="52"/>
  <c r="H49" i="40"/>
  <c r="G45" i="39"/>
  <c r="G42" i="39"/>
  <c r="G55" i="38"/>
  <c r="G45" i="40"/>
  <c r="G42" i="40"/>
  <c r="G55" i="40"/>
  <c r="G55" i="39"/>
  <c r="G45" i="38"/>
  <c r="G42" i="38"/>
  <c r="O27" i="53" l="1"/>
  <c r="O21" i="53"/>
  <c r="L41" i="52"/>
  <c r="L54" i="52"/>
  <c r="M27" i="52"/>
  <c r="M21" i="52"/>
  <c r="I43" i="51"/>
  <c r="I44" i="51" s="1"/>
  <c r="N41" i="53"/>
  <c r="N54" i="53"/>
  <c r="G43" i="40"/>
  <c r="G44" i="40" s="1"/>
  <c r="H18" i="40" s="1"/>
  <c r="G43" i="39"/>
  <c r="G44" i="39" s="1"/>
  <c r="H18" i="39" s="1"/>
  <c r="G43" i="38"/>
  <c r="J18" i="51" l="1"/>
  <c r="N55" i="53"/>
  <c r="I38" i="49"/>
  <c r="I56" i="49" s="1"/>
  <c r="L55" i="52"/>
  <c r="N45" i="53"/>
  <c r="N42" i="53"/>
  <c r="N43" i="53" s="1"/>
  <c r="N44" i="53" s="1"/>
  <c r="L45" i="52"/>
  <c r="L42" i="52"/>
  <c r="L43" i="52" s="1"/>
  <c r="L44" i="52" s="1"/>
  <c r="G38" i="47"/>
  <c r="G56" i="47" s="1"/>
  <c r="G44" i="38"/>
  <c r="H18" i="38" s="1"/>
  <c r="H16" i="38" s="1"/>
  <c r="H16" i="39"/>
  <c r="H48" i="39"/>
  <c r="H48" i="40"/>
  <c r="H16" i="40"/>
  <c r="J48" i="51" l="1"/>
  <c r="J16" i="51"/>
  <c r="O18" i="53"/>
  <c r="M18" i="52"/>
  <c r="H48" i="38"/>
  <c r="H50" i="38" s="1"/>
  <c r="H30" i="40"/>
  <c r="H34" i="40" s="1"/>
  <c r="H50" i="40"/>
  <c r="H50" i="39"/>
  <c r="H30" i="38"/>
  <c r="H34" i="38" s="1"/>
  <c r="H35" i="38" s="1"/>
  <c r="H30" i="39"/>
  <c r="H34" i="39" s="1"/>
  <c r="O48" i="53" l="1"/>
  <c r="O16" i="53"/>
  <c r="M48" i="52"/>
  <c r="M16" i="52"/>
  <c r="J29" i="51"/>
  <c r="H36" i="38"/>
  <c r="H37" i="38" s="1"/>
  <c r="H36" i="39"/>
  <c r="H37" i="39" s="1"/>
  <c r="H51" i="40"/>
  <c r="H51" i="39"/>
  <c r="H36" i="40"/>
  <c r="H37" i="40" s="1"/>
  <c r="H51" i="38"/>
  <c r="O29" i="53" l="1"/>
  <c r="J49" i="51"/>
  <c r="J22" i="51"/>
  <c r="M29" i="52"/>
  <c r="I39" i="40"/>
  <c r="I25" i="40" s="1"/>
  <c r="I26" i="40"/>
  <c r="I39" i="39"/>
  <c r="I25" i="39" s="1"/>
  <c r="I26" i="39"/>
  <c r="I39" i="38"/>
  <c r="I25" i="38" s="1"/>
  <c r="I26" i="38"/>
  <c r="H40" i="40"/>
  <c r="H40" i="39"/>
  <c r="H40" i="38"/>
  <c r="H52" i="38"/>
  <c r="H38" i="40"/>
  <c r="H52" i="40"/>
  <c r="H38" i="39"/>
  <c r="H52" i="39"/>
  <c r="H38" i="38"/>
  <c r="J30" i="51" l="1"/>
  <c r="J34" i="51" s="1"/>
  <c r="O49" i="53"/>
  <c r="O50" i="53" s="1"/>
  <c r="O22" i="53"/>
  <c r="O30" i="53" s="1"/>
  <c r="O34" i="53" s="1"/>
  <c r="M49" i="52"/>
  <c r="M50" i="52" s="1"/>
  <c r="M22" i="52"/>
  <c r="M30" i="52" s="1"/>
  <c r="M34" i="52" s="1"/>
  <c r="J50" i="51"/>
  <c r="I27" i="40"/>
  <c r="I22" i="40" s="1"/>
  <c r="I27" i="39"/>
  <c r="I49" i="39" s="1"/>
  <c r="I27" i="38"/>
  <c r="I21" i="39"/>
  <c r="H53" i="40"/>
  <c r="H53" i="38"/>
  <c r="I21" i="38"/>
  <c r="H53" i="39"/>
  <c r="I21" i="40"/>
  <c r="M36" i="52" l="1"/>
  <c r="M35" i="52"/>
  <c r="O51" i="53"/>
  <c r="M51" i="52"/>
  <c r="J51" i="51"/>
  <c r="O36" i="53"/>
  <c r="O35" i="53"/>
  <c r="J36" i="51"/>
  <c r="J35" i="51"/>
  <c r="I49" i="40"/>
  <c r="I22" i="39"/>
  <c r="I19" i="39" s="1"/>
  <c r="H41" i="40"/>
  <c r="H54" i="40"/>
  <c r="H41" i="38"/>
  <c r="H54" i="38"/>
  <c r="H41" i="39"/>
  <c r="H54" i="39"/>
  <c r="M40" i="52" l="1"/>
  <c r="O40" i="53"/>
  <c r="J52" i="51"/>
  <c r="O37" i="53"/>
  <c r="O52" i="53"/>
  <c r="M37" i="52"/>
  <c r="J40" i="51"/>
  <c r="J37" i="51"/>
  <c r="M52" i="52"/>
  <c r="H55" i="39"/>
  <c r="H45" i="40"/>
  <c r="H42" i="40"/>
  <c r="H55" i="38"/>
  <c r="H45" i="38"/>
  <c r="H42" i="38"/>
  <c r="H45" i="39"/>
  <c r="H42" i="39"/>
  <c r="H55" i="40"/>
  <c r="O53" i="53" l="1"/>
  <c r="J53" i="51"/>
  <c r="M53" i="52"/>
  <c r="N39" i="52"/>
  <c r="N25" i="52" s="1"/>
  <c r="M38" i="52"/>
  <c r="N26" i="52"/>
  <c r="P39" i="53"/>
  <c r="P25" i="53" s="1"/>
  <c r="O38" i="53"/>
  <c r="P26" i="53"/>
  <c r="K39" i="51"/>
  <c r="K25" i="51" s="1"/>
  <c r="J38" i="51"/>
  <c r="K26" i="51"/>
  <c r="H43" i="40"/>
  <c r="H44" i="40" s="1"/>
  <c r="I18" i="40" s="1"/>
  <c r="H43" i="39"/>
  <c r="H44" i="39" s="1"/>
  <c r="I18" i="39" s="1"/>
  <c r="H43" i="38"/>
  <c r="J41" i="51" l="1"/>
  <c r="J54" i="51"/>
  <c r="N27" i="52"/>
  <c r="N21" i="52"/>
  <c r="P27" i="53"/>
  <c r="P21" i="53"/>
  <c r="M41" i="52"/>
  <c r="M54" i="52"/>
  <c r="O41" i="53"/>
  <c r="O54" i="53"/>
  <c r="K27" i="51"/>
  <c r="K21" i="51"/>
  <c r="H38" i="47"/>
  <c r="H56" i="47" s="1"/>
  <c r="H44" i="38"/>
  <c r="I18" i="38" s="1"/>
  <c r="I48" i="39"/>
  <c r="I50" i="39" s="1"/>
  <c r="I16" i="39"/>
  <c r="I16" i="40"/>
  <c r="I48" i="40"/>
  <c r="I50" i="40" s="1"/>
  <c r="O55" i="53" l="1"/>
  <c r="J55" i="51"/>
  <c r="M45" i="52"/>
  <c r="M42" i="52"/>
  <c r="M43" i="52" s="1"/>
  <c r="M44" i="52" s="1"/>
  <c r="O45" i="53"/>
  <c r="O42" i="53"/>
  <c r="O43" i="53" s="1"/>
  <c r="O44" i="53" s="1"/>
  <c r="J45" i="51"/>
  <c r="J42" i="51"/>
  <c r="M55" i="52"/>
  <c r="I30" i="39"/>
  <c r="I34" i="39" s="1"/>
  <c r="I35" i="39" s="1"/>
  <c r="I30" i="40"/>
  <c r="I34" i="40" s="1"/>
  <c r="I51" i="40"/>
  <c r="I51" i="39"/>
  <c r="J43" i="51" l="1"/>
  <c r="J44" i="51" s="1"/>
  <c r="N18" i="52"/>
  <c r="P18" i="53"/>
  <c r="I52" i="39"/>
  <c r="I53" i="39" s="1"/>
  <c r="I52" i="40"/>
  <c r="I53" i="40" s="1"/>
  <c r="I36" i="39"/>
  <c r="I37" i="39" s="1"/>
  <c r="I36" i="40"/>
  <c r="I37" i="40" s="1"/>
  <c r="K18" i="51" l="1"/>
  <c r="N48" i="52"/>
  <c r="N16" i="52"/>
  <c r="P48" i="53"/>
  <c r="P16" i="53"/>
  <c r="J38" i="49"/>
  <c r="J56" i="49" s="1"/>
  <c r="J39" i="40"/>
  <c r="J25" i="40" s="1"/>
  <c r="J26" i="40"/>
  <c r="J27" i="40" s="1"/>
  <c r="J39" i="39"/>
  <c r="J25" i="39" s="1"/>
  <c r="J26" i="39"/>
  <c r="J27" i="39" s="1"/>
  <c r="I38" i="40"/>
  <c r="I41" i="39"/>
  <c r="I45" i="39" s="1"/>
  <c r="I54" i="39"/>
  <c r="I55" i="39" s="1"/>
  <c r="I40" i="39"/>
  <c r="I41" i="40"/>
  <c r="I45" i="40" s="1"/>
  <c r="I54" i="40"/>
  <c r="I55" i="40" s="1"/>
  <c r="I38" i="39"/>
  <c r="I40" i="40"/>
  <c r="P29" i="53" l="1"/>
  <c r="N29" i="52"/>
  <c r="K16" i="51"/>
  <c r="K48" i="51"/>
  <c r="J49" i="40"/>
  <c r="J49" i="39"/>
  <c r="J22" i="40"/>
  <c r="J22" i="39"/>
  <c r="I42" i="40"/>
  <c r="J21" i="40"/>
  <c r="I42" i="39"/>
  <c r="J21" i="39"/>
  <c r="N22" i="52" l="1"/>
  <c r="N30" i="52" s="1"/>
  <c r="N34" i="52" s="1"/>
  <c r="N49" i="52"/>
  <c r="N50" i="52" s="1"/>
  <c r="K29" i="51"/>
  <c r="P49" i="53"/>
  <c r="P50" i="53" s="1"/>
  <c r="P22" i="53"/>
  <c r="P30" i="53" s="1"/>
  <c r="P34" i="53" s="1"/>
  <c r="I43" i="40"/>
  <c r="I44" i="40" s="1"/>
  <c r="J18" i="40" s="1"/>
  <c r="I43" i="39"/>
  <c r="I44" i="39" s="1"/>
  <c r="J18" i="39" s="1"/>
  <c r="J19" i="39"/>
  <c r="K49" i="51" l="1"/>
  <c r="K50" i="51" s="1"/>
  <c r="K22" i="51"/>
  <c r="P36" i="53"/>
  <c r="P35" i="53"/>
  <c r="P40" i="53" s="1"/>
  <c r="N51" i="52"/>
  <c r="N36" i="52"/>
  <c r="N35" i="52"/>
  <c r="P51" i="53"/>
  <c r="J16" i="40"/>
  <c r="J30" i="40" s="1"/>
  <c r="J34" i="40" s="1"/>
  <c r="J48" i="40"/>
  <c r="J50" i="40" s="1"/>
  <c r="J51" i="40" s="1"/>
  <c r="J16" i="39"/>
  <c r="J48" i="39"/>
  <c r="J50" i="39" s="1"/>
  <c r="N40" i="52" l="1"/>
  <c r="P52" i="53"/>
  <c r="P53" i="53" s="1"/>
  <c r="N52" i="52"/>
  <c r="N53" i="52" s="1"/>
  <c r="K30" i="51"/>
  <c r="K34" i="51" s="1"/>
  <c r="N37" i="52"/>
  <c r="K51" i="51"/>
  <c r="P37" i="53"/>
  <c r="J52" i="40"/>
  <c r="J53" i="40" s="1"/>
  <c r="J51" i="39"/>
  <c r="J36" i="40"/>
  <c r="J37" i="40" s="1"/>
  <c r="J30" i="39"/>
  <c r="J34" i="39" s="1"/>
  <c r="J35" i="39" s="1"/>
  <c r="Q39" i="53" l="1"/>
  <c r="Q25" i="53" s="1"/>
  <c r="P38" i="53"/>
  <c r="Q26" i="53"/>
  <c r="K36" i="51"/>
  <c r="K35" i="51"/>
  <c r="P41" i="53"/>
  <c r="P54" i="53"/>
  <c r="P55" i="53" s="1"/>
  <c r="O39" i="52"/>
  <c r="O25" i="52" s="1"/>
  <c r="N38" i="52"/>
  <c r="O26" i="52"/>
  <c r="K52" i="51"/>
  <c r="N41" i="52"/>
  <c r="N54" i="52"/>
  <c r="N55" i="52" s="1"/>
  <c r="K39" i="40"/>
  <c r="K25" i="40" s="1"/>
  <c r="K26" i="40"/>
  <c r="K27" i="40" s="1"/>
  <c r="J40" i="40"/>
  <c r="J41" i="40"/>
  <c r="J45" i="40" s="1"/>
  <c r="J54" i="40"/>
  <c r="J55" i="40" s="1"/>
  <c r="J36" i="39"/>
  <c r="J37" i="39" s="1"/>
  <c r="J38" i="40"/>
  <c r="J52" i="39"/>
  <c r="J53" i="39" s="1"/>
  <c r="K40" i="51" l="1"/>
  <c r="P45" i="53"/>
  <c r="P42" i="53"/>
  <c r="P43" i="53" s="1"/>
  <c r="P44" i="53" s="1"/>
  <c r="Q27" i="53"/>
  <c r="Q21" i="53"/>
  <c r="K53" i="51"/>
  <c r="K37" i="51"/>
  <c r="O27" i="52"/>
  <c r="O21" i="52"/>
  <c r="N45" i="52"/>
  <c r="N42" i="52"/>
  <c r="N43" i="52" s="1"/>
  <c r="N44" i="52" s="1"/>
  <c r="K49" i="40"/>
  <c r="K22" i="40"/>
  <c r="K19" i="40" s="1"/>
  <c r="K39" i="39"/>
  <c r="K25" i="39" s="1"/>
  <c r="K26" i="39"/>
  <c r="K27" i="39" s="1"/>
  <c r="J40" i="39"/>
  <c r="K21" i="40"/>
  <c r="J41" i="39"/>
  <c r="J45" i="39" s="1"/>
  <c r="J54" i="39"/>
  <c r="J55" i="39" s="1"/>
  <c r="J38" i="39"/>
  <c r="J42" i="40"/>
  <c r="K41" i="51" l="1"/>
  <c r="K54" i="51"/>
  <c r="O18" i="52"/>
  <c r="K38" i="51"/>
  <c r="L39" i="51"/>
  <c r="L25" i="51" s="1"/>
  <c r="L26" i="51"/>
  <c r="Q18" i="53"/>
  <c r="J43" i="40"/>
  <c r="J44" i="40" s="1"/>
  <c r="K18" i="40" s="1"/>
  <c r="J42" i="39"/>
  <c r="K21" i="39"/>
  <c r="K55" i="51" l="1"/>
  <c r="L27" i="51"/>
  <c r="L21" i="51"/>
  <c r="K45" i="51"/>
  <c r="K42" i="51"/>
  <c r="Q48" i="53"/>
  <c r="Q16" i="53"/>
  <c r="O48" i="52"/>
  <c r="O16" i="52"/>
  <c r="J43" i="39"/>
  <c r="J44" i="39" s="1"/>
  <c r="K18" i="39" s="1"/>
  <c r="K16" i="40"/>
  <c r="K48" i="40"/>
  <c r="K50" i="40" s="1"/>
  <c r="K43" i="51" l="1"/>
  <c r="K44" i="51" s="1"/>
  <c r="O29" i="52"/>
  <c r="Q29" i="53"/>
  <c r="K51" i="40"/>
  <c r="K30" i="40"/>
  <c r="K34" i="40" s="1"/>
  <c r="K35" i="40" s="1"/>
  <c r="O49" i="52" l="1"/>
  <c r="O50" i="52" s="1"/>
  <c r="O22" i="52"/>
  <c r="O30" i="52" s="1"/>
  <c r="O34" i="52" s="1"/>
  <c r="L18" i="51"/>
  <c r="Q22" i="53"/>
  <c r="Q30" i="53" s="1"/>
  <c r="Q34" i="53" s="1"/>
  <c r="Q49" i="53"/>
  <c r="Q50" i="53" s="1"/>
  <c r="K38" i="49"/>
  <c r="K56" i="49" s="1"/>
  <c r="K36" i="40"/>
  <c r="K37" i="40" s="1"/>
  <c r="K52" i="40"/>
  <c r="K53" i="40" s="1"/>
  <c r="Q51" i="53" l="1"/>
  <c r="Q36" i="53"/>
  <c r="Q35" i="53"/>
  <c r="L48" i="51"/>
  <c r="L16" i="51"/>
  <c r="O36" i="52"/>
  <c r="O35" i="52"/>
  <c r="O51" i="52"/>
  <c r="L39" i="40"/>
  <c r="L25" i="40" s="1"/>
  <c r="L26" i="40"/>
  <c r="L27" i="40" s="1"/>
  <c r="K41" i="40"/>
  <c r="K45" i="40" s="1"/>
  <c r="K54" i="40"/>
  <c r="K55" i="40" s="1"/>
  <c r="K38" i="40"/>
  <c r="K40" i="40"/>
  <c r="O40" i="52" l="1"/>
  <c r="Q30" i="49"/>
  <c r="Q37" i="53"/>
  <c r="L29" i="51"/>
  <c r="O30" i="49"/>
  <c r="O37" i="52"/>
  <c r="Q52" i="53"/>
  <c r="Q53" i="53" s="1"/>
  <c r="O52" i="52"/>
  <c r="O53" i="52" s="1"/>
  <c r="Q40" i="53"/>
  <c r="L49" i="40"/>
  <c r="L22" i="40"/>
  <c r="L19" i="40" s="1"/>
  <c r="K42" i="40"/>
  <c r="L21" i="40"/>
  <c r="R39" i="53" l="1"/>
  <c r="R25" i="53" s="1"/>
  <c r="Q38" i="53"/>
  <c r="R26" i="53"/>
  <c r="O41" i="52"/>
  <c r="O54" i="52"/>
  <c r="O55" i="52" s="1"/>
  <c r="L49" i="51"/>
  <c r="L50" i="51" s="1"/>
  <c r="L22" i="51"/>
  <c r="O38" i="52"/>
  <c r="P39" i="52"/>
  <c r="P25" i="52" s="1"/>
  <c r="P26" i="52"/>
  <c r="Q41" i="53"/>
  <c r="Q45" i="53" s="1"/>
  <c r="Q54" i="53"/>
  <c r="Q55" i="53" s="1"/>
  <c r="K43" i="40"/>
  <c r="K44" i="40" s="1"/>
  <c r="L18" i="40" s="1"/>
  <c r="L51" i="51" l="1"/>
  <c r="R27" i="53"/>
  <c r="R21" i="53"/>
  <c r="Q42" i="53"/>
  <c r="Q43" i="53" s="1"/>
  <c r="Q44" i="53" s="1"/>
  <c r="P27" i="52"/>
  <c r="P21" i="52"/>
  <c r="L30" i="51"/>
  <c r="L34" i="51" s="1"/>
  <c r="O45" i="52"/>
  <c r="O42" i="52"/>
  <c r="O43" i="52" s="1"/>
  <c r="O44" i="52" s="1"/>
  <c r="L16" i="40"/>
  <c r="L30" i="40" s="1"/>
  <c r="L34" i="40" s="1"/>
  <c r="L35" i="40" s="1"/>
  <c r="L48" i="40"/>
  <c r="L50" i="40" s="1"/>
  <c r="L51" i="40" s="1"/>
  <c r="L35" i="51" l="1"/>
  <c r="L36" i="51"/>
  <c r="R18" i="53"/>
  <c r="L52" i="51"/>
  <c r="L53" i="51" s="1"/>
  <c r="P18" i="52"/>
  <c r="L36" i="40"/>
  <c r="L37" i="40" s="1"/>
  <c r="L52" i="40"/>
  <c r="L53" i="40" s="1"/>
  <c r="L40" i="51" l="1"/>
  <c r="L41" i="51"/>
  <c r="L45" i="51" s="1"/>
  <c r="L54" i="51"/>
  <c r="L55" i="51" s="1"/>
  <c r="R48" i="53"/>
  <c r="R16" i="53"/>
  <c r="P48" i="52"/>
  <c r="P16" i="52"/>
  <c r="L37" i="51"/>
  <c r="M39" i="40"/>
  <c r="M25" i="40" s="1"/>
  <c r="M26" i="40"/>
  <c r="M27" i="40" s="1"/>
  <c r="L38" i="40"/>
  <c r="L41" i="40"/>
  <c r="L45" i="40" s="1"/>
  <c r="L54" i="40"/>
  <c r="L55" i="40" s="1"/>
  <c r="L40" i="40"/>
  <c r="M39" i="51" l="1"/>
  <c r="M25" i="51" s="1"/>
  <c r="L38" i="51"/>
  <c r="M26" i="51"/>
  <c r="R29" i="53"/>
  <c r="L42" i="51"/>
  <c r="P29" i="52"/>
  <c r="L42" i="40"/>
  <c r="M21" i="40"/>
  <c r="M27" i="51" l="1"/>
  <c r="M21" i="51"/>
  <c r="P49" i="52"/>
  <c r="P50" i="52" s="1"/>
  <c r="P22" i="52"/>
  <c r="P30" i="52" s="1"/>
  <c r="P34" i="52" s="1"/>
  <c r="P35" i="52" s="1"/>
  <c r="L43" i="51"/>
  <c r="L44" i="51" s="1"/>
  <c r="R22" i="53"/>
  <c r="R30" i="53" s="1"/>
  <c r="R34" i="53" s="1"/>
  <c r="R35" i="53" s="1"/>
  <c r="R49" i="53"/>
  <c r="R50" i="53" s="1"/>
  <c r="L43" i="40"/>
  <c r="L44" i="40" s="1"/>
  <c r="M18" i="40" s="1"/>
  <c r="R30" i="49" l="1"/>
  <c r="B35" i="53"/>
  <c r="P30" i="49"/>
  <c r="B35" i="52"/>
  <c r="M18" i="51"/>
  <c r="R51" i="53"/>
  <c r="P36" i="52"/>
  <c r="P37" i="52" s="1"/>
  <c r="R36" i="53"/>
  <c r="R37" i="53" s="1"/>
  <c r="P51" i="52"/>
  <c r="R38" i="53" l="1"/>
  <c r="S39" i="53"/>
  <c r="S25" i="53" s="1"/>
  <c r="S26" i="53"/>
  <c r="S21" i="53" s="1"/>
  <c r="P52" i="52"/>
  <c r="P53" i="52" s="1"/>
  <c r="P40" i="52"/>
  <c r="P38" i="52"/>
  <c r="Q39" i="52"/>
  <c r="Q25" i="52" s="1"/>
  <c r="Q26" i="52"/>
  <c r="Q21" i="52" s="1"/>
  <c r="R40" i="53"/>
  <c r="R52" i="53"/>
  <c r="R53" i="53" s="1"/>
  <c r="M16" i="51"/>
  <c r="M48" i="51"/>
  <c r="M29" i="51" l="1"/>
  <c r="P41" i="52"/>
  <c r="P45" i="52" s="1"/>
  <c r="P54" i="52"/>
  <c r="P55" i="52" s="1"/>
  <c r="R41" i="53"/>
  <c r="R45" i="53" s="1"/>
  <c r="R54" i="53"/>
  <c r="R55" i="53" s="1"/>
  <c r="S27" i="53"/>
  <c r="Q27" i="52"/>
  <c r="P42" i="52" l="1"/>
  <c r="P43" i="52" s="1"/>
  <c r="P44" i="52" s="1"/>
  <c r="Q18" i="52" s="1"/>
  <c r="R42" i="53"/>
  <c r="R43" i="53" s="1"/>
  <c r="R44" i="53" s="1"/>
  <c r="S18" i="53" s="1"/>
  <c r="M49" i="51"/>
  <c r="M50" i="51" s="1"/>
  <c r="M22" i="51"/>
  <c r="M35" i="37"/>
  <c r="M51" i="51" l="1"/>
  <c r="Q48" i="52"/>
  <c r="Q16" i="52"/>
  <c r="S48" i="53"/>
  <c r="S16" i="53"/>
  <c r="M30" i="51"/>
  <c r="M34" i="51" s="1"/>
  <c r="P35" i="38"/>
  <c r="M36" i="51" l="1"/>
  <c r="M35" i="51"/>
  <c r="Q29" i="52"/>
  <c r="S29" i="53"/>
  <c r="M52" i="51"/>
  <c r="M53" i="51" s="1"/>
  <c r="N35" i="37"/>
  <c r="M40" i="51" l="1"/>
  <c r="Q22" i="52"/>
  <c r="Q30" i="52" s="1"/>
  <c r="Q34" i="52" s="1"/>
  <c r="Q49" i="52"/>
  <c r="Q50" i="52" s="1"/>
  <c r="S22" i="53"/>
  <c r="S30" i="53" s="1"/>
  <c r="S34" i="53" s="1"/>
  <c r="S49" i="53"/>
  <c r="S50" i="53" s="1"/>
  <c r="M41" i="51"/>
  <c r="M45" i="51" s="1"/>
  <c r="M54" i="51"/>
  <c r="M55" i="51" s="1"/>
  <c r="M30" i="49"/>
  <c r="M37" i="51"/>
  <c r="Q51" i="52" l="1"/>
  <c r="N39" i="51"/>
  <c r="N25" i="51" s="1"/>
  <c r="M38" i="51"/>
  <c r="N26" i="51"/>
  <c r="S51" i="53"/>
  <c r="Q36" i="52"/>
  <c r="Q37" i="52" s="1"/>
  <c r="S36" i="53"/>
  <c r="S37" i="53" s="1"/>
  <c r="M42" i="51"/>
  <c r="R35" i="39"/>
  <c r="Q40" i="52" l="1"/>
  <c r="S38" i="53"/>
  <c r="T39" i="53"/>
  <c r="T25" i="53" s="1"/>
  <c r="T26" i="53"/>
  <c r="S40" i="53"/>
  <c r="S52" i="53"/>
  <c r="S53" i="53" s="1"/>
  <c r="Q52" i="52"/>
  <c r="Q53" i="52" s="1"/>
  <c r="M43" i="51"/>
  <c r="M44" i="51" s="1"/>
  <c r="N27" i="51"/>
  <c r="N21" i="51"/>
  <c r="R39" i="52"/>
  <c r="R25" i="52" s="1"/>
  <c r="Q38" i="52"/>
  <c r="R26" i="52"/>
  <c r="R21" i="52" s="1"/>
  <c r="N18" i="51" l="1"/>
  <c r="T21" i="53"/>
  <c r="T27" i="53" s="1"/>
  <c r="R27" i="52"/>
  <c r="Q41" i="52"/>
  <c r="Q54" i="52"/>
  <c r="Q55" i="52" s="1"/>
  <c r="S41" i="53"/>
  <c r="S45" i="53" s="1"/>
  <c r="S54" i="53"/>
  <c r="S55" i="53" s="1"/>
  <c r="S42" i="53" l="1"/>
  <c r="S43" i="53" s="1"/>
  <c r="S44" i="53" s="1"/>
  <c r="T18" i="53" s="1"/>
  <c r="Q45" i="52"/>
  <c r="Q42" i="52"/>
  <c r="Q43" i="52" s="1"/>
  <c r="Q44" i="52" s="1"/>
  <c r="N48" i="51"/>
  <c r="N16" i="51"/>
  <c r="T35" i="40"/>
  <c r="R18" i="52" l="1"/>
  <c r="T48" i="53"/>
  <c r="T16" i="53"/>
  <c r="N29" i="51"/>
  <c r="T30" i="47"/>
  <c r="N49" i="51" l="1"/>
  <c r="N50" i="51" s="1"/>
  <c r="N22" i="51"/>
  <c r="T29" i="53"/>
  <c r="R48" i="52"/>
  <c r="R16" i="52"/>
  <c r="B8" i="35"/>
  <c r="R29" i="52" l="1"/>
  <c r="N30" i="51"/>
  <c r="N34" i="51" s="1"/>
  <c r="N35" i="51" s="1"/>
  <c r="T22" i="53"/>
  <c r="T30" i="53" s="1"/>
  <c r="T34" i="53" s="1"/>
  <c r="T49" i="53"/>
  <c r="T50" i="53" s="1"/>
  <c r="N51" i="51"/>
  <c r="E19" i="37"/>
  <c r="N30" i="49" l="1"/>
  <c r="B35" i="51"/>
  <c r="T51" i="53"/>
  <c r="N36" i="51"/>
  <c r="N37" i="51" s="1"/>
  <c r="T36" i="53"/>
  <c r="T37" i="53" s="1"/>
  <c r="N52" i="51"/>
  <c r="N53" i="51" s="1"/>
  <c r="R22" i="52"/>
  <c r="R30" i="52" s="1"/>
  <c r="R34" i="52" s="1"/>
  <c r="R49" i="52"/>
  <c r="R50" i="52" s="1"/>
  <c r="E16" i="37"/>
  <c r="E14" i="47"/>
  <c r="E11" i="47" s="1"/>
  <c r="N40" i="51" l="1"/>
  <c r="R51" i="52"/>
  <c r="N41" i="51"/>
  <c r="N45" i="51" s="1"/>
  <c r="N54" i="51"/>
  <c r="N55" i="51" s="1"/>
  <c r="O39" i="51"/>
  <c r="O25" i="51" s="1"/>
  <c r="N38" i="51"/>
  <c r="O26" i="51"/>
  <c r="T40" i="53"/>
  <c r="T52" i="53"/>
  <c r="T53" i="53" s="1"/>
  <c r="R36" i="52"/>
  <c r="R37" i="52" s="1"/>
  <c r="T38" i="53"/>
  <c r="U39" i="53"/>
  <c r="U25" i="53" s="1"/>
  <c r="U26" i="53"/>
  <c r="E61" i="47"/>
  <c r="E45" i="37"/>
  <c r="E30" i="37"/>
  <c r="E34" i="37" s="1"/>
  <c r="T41" i="53" l="1"/>
  <c r="T45" i="53" s="1"/>
  <c r="T54" i="53"/>
  <c r="T55" i="53" s="1"/>
  <c r="O21" i="51"/>
  <c r="O27" i="51" s="1"/>
  <c r="R40" i="52"/>
  <c r="R52" i="52"/>
  <c r="R53" i="52" s="1"/>
  <c r="U21" i="53"/>
  <c r="U27" i="53" s="1"/>
  <c r="S39" i="52"/>
  <c r="S25" i="52" s="1"/>
  <c r="R38" i="52"/>
  <c r="S26" i="52"/>
  <c r="N42" i="51"/>
  <c r="E36" i="37"/>
  <c r="E35" i="37"/>
  <c r="E60" i="47"/>
  <c r="E74" i="47" s="1"/>
  <c r="E40" i="47"/>
  <c r="E25" i="47"/>
  <c r="E29" i="47" s="1"/>
  <c r="T42" i="53" l="1"/>
  <c r="T43" i="53" s="1"/>
  <c r="T44" i="53" s="1"/>
  <c r="R41" i="52"/>
  <c r="R45" i="52" s="1"/>
  <c r="R54" i="52"/>
  <c r="R55" i="52" s="1"/>
  <c r="S27" i="52"/>
  <c r="S21" i="52"/>
  <c r="N43" i="51"/>
  <c r="N44" i="51" s="1"/>
  <c r="E40" i="37"/>
  <c r="E42" i="37" s="1"/>
  <c r="E44" i="37" s="1"/>
  <c r="E30" i="47"/>
  <c r="E37" i="37"/>
  <c r="E75" i="47"/>
  <c r="E65" i="47"/>
  <c r="E31" i="47"/>
  <c r="U18" i="53" l="1"/>
  <c r="U16" i="53" s="1"/>
  <c r="U29" i="53" s="1"/>
  <c r="O18" i="51"/>
  <c r="R42" i="52"/>
  <c r="R43" i="52" s="1"/>
  <c r="R44" i="52" s="1"/>
  <c r="F18" i="37"/>
  <c r="F48" i="37" s="1"/>
  <c r="E35" i="47"/>
  <c r="E37" i="47" s="1"/>
  <c r="E39" i="47" s="1"/>
  <c r="F39" i="37"/>
  <c r="F25" i="37" s="1"/>
  <c r="E32" i="47"/>
  <c r="E38" i="37"/>
  <c r="E33" i="47" s="1"/>
  <c r="F26" i="37"/>
  <c r="E67" i="47"/>
  <c r="E66" i="47"/>
  <c r="U48" i="53" l="1"/>
  <c r="U24" i="49"/>
  <c r="U22" i="53"/>
  <c r="U30" i="53" s="1"/>
  <c r="U34" i="53" s="1"/>
  <c r="U36" i="53" s="1"/>
  <c r="U37" i="53" s="1"/>
  <c r="U49" i="53"/>
  <c r="S18" i="52"/>
  <c r="O48" i="51"/>
  <c r="O16" i="51"/>
  <c r="F13" i="47"/>
  <c r="E69" i="47"/>
  <c r="E71" i="47" s="1"/>
  <c r="E73" i="47" s="1"/>
  <c r="F57" i="47" s="1"/>
  <c r="E68" i="47"/>
  <c r="F20" i="47"/>
  <c r="F43" i="47"/>
  <c r="F21" i="47"/>
  <c r="F27" i="37"/>
  <c r="F21" i="37"/>
  <c r="U50" i="53" l="1"/>
  <c r="U51" i="53" s="1"/>
  <c r="U52" i="53" s="1"/>
  <c r="U53" i="53" s="1"/>
  <c r="U40" i="53"/>
  <c r="O29" i="51"/>
  <c r="V39" i="53"/>
  <c r="V25" i="53" s="1"/>
  <c r="U38" i="53"/>
  <c r="V26" i="53"/>
  <c r="S16" i="52"/>
  <c r="S48" i="52"/>
  <c r="F22" i="47"/>
  <c r="F58" i="47"/>
  <c r="F63" i="47"/>
  <c r="F16" i="47"/>
  <c r="S29" i="52" l="1"/>
  <c r="U41" i="53"/>
  <c r="U54" i="53"/>
  <c r="U55" i="53" s="1"/>
  <c r="O22" i="51"/>
  <c r="O49" i="51"/>
  <c r="O50" i="51" s="1"/>
  <c r="V27" i="53"/>
  <c r="V21" i="53"/>
  <c r="F80" i="47"/>
  <c r="F59" i="47"/>
  <c r="F79" i="47" s="1"/>
  <c r="S24" i="49" l="1"/>
  <c r="S49" i="52"/>
  <c r="S50" i="52" s="1"/>
  <c r="S51" i="52" s="1"/>
  <c r="S52" i="52" s="1"/>
  <c r="S53" i="52" s="1"/>
  <c r="S22" i="52"/>
  <c r="S30" i="52" s="1"/>
  <c r="S34" i="52" s="1"/>
  <c r="S36" i="52" s="1"/>
  <c r="S37" i="52" s="1"/>
  <c r="S38" i="52" s="1"/>
  <c r="U45" i="53"/>
  <c r="U42" i="53"/>
  <c r="U43" i="53" s="1"/>
  <c r="U44" i="53" s="1"/>
  <c r="O51" i="51"/>
  <c r="O30" i="51"/>
  <c r="O34" i="51" s="1"/>
  <c r="F55" i="47"/>
  <c r="T39" i="52" l="1"/>
  <c r="T25" i="52" s="1"/>
  <c r="T26" i="52"/>
  <c r="T21" i="52" s="1"/>
  <c r="S40" i="52"/>
  <c r="O52" i="51"/>
  <c r="O53" i="51" s="1"/>
  <c r="O36" i="51"/>
  <c r="O37" i="51" s="1"/>
  <c r="S41" i="52"/>
  <c r="S45" i="52" s="1"/>
  <c r="S54" i="52"/>
  <c r="S55" i="52" s="1"/>
  <c r="V18" i="53"/>
  <c r="F76" i="47"/>
  <c r="F81" i="47"/>
  <c r="T27" i="52" l="1"/>
  <c r="O40" i="51"/>
  <c r="O41" i="51"/>
  <c r="O45" i="51" s="1"/>
  <c r="O54" i="51"/>
  <c r="O55" i="51" s="1"/>
  <c r="V16" i="53"/>
  <c r="V48" i="53"/>
  <c r="O38" i="51"/>
  <c r="P39" i="51"/>
  <c r="P25" i="51" s="1"/>
  <c r="P26" i="51"/>
  <c r="S42" i="52"/>
  <c r="S43" i="52" s="1"/>
  <c r="S44" i="52" s="1"/>
  <c r="F82" i="47"/>
  <c r="V29" i="53" l="1"/>
  <c r="O42" i="51"/>
  <c r="O43" i="51" s="1"/>
  <c r="O44" i="51" s="1"/>
  <c r="P21" i="51"/>
  <c r="P27" i="51" s="1"/>
  <c r="T18" i="52"/>
  <c r="F83" i="47"/>
  <c r="V24" i="49" l="1"/>
  <c r="B29" i="53"/>
  <c r="V49" i="53"/>
  <c r="V50" i="53" s="1"/>
  <c r="V51" i="53" s="1"/>
  <c r="V52" i="53" s="1"/>
  <c r="V53" i="53" s="1"/>
  <c r="V22" i="53"/>
  <c r="V30" i="53" s="1"/>
  <c r="V34" i="53" s="1"/>
  <c r="V36" i="53" s="1"/>
  <c r="V37" i="53" s="1"/>
  <c r="W26" i="53" s="1"/>
  <c r="P18" i="51"/>
  <c r="T48" i="52"/>
  <c r="T16" i="52"/>
  <c r="F84" i="47"/>
  <c r="V38" i="53" l="1"/>
  <c r="W25" i="53" s="1"/>
  <c r="V40" i="53"/>
  <c r="T29" i="52"/>
  <c r="V41" i="53"/>
  <c r="V54" i="53"/>
  <c r="V55" i="53" s="1"/>
  <c r="W27" i="53"/>
  <c r="W21" i="53"/>
  <c r="P48" i="51"/>
  <c r="P16" i="51"/>
  <c r="F70" i="47"/>
  <c r="F85" i="47"/>
  <c r="W49" i="53" l="1"/>
  <c r="T24" i="49"/>
  <c r="B29" i="52"/>
  <c r="T22" i="52"/>
  <c r="T30" i="52" s="1"/>
  <c r="T34" i="52" s="1"/>
  <c r="T36" i="52" s="1"/>
  <c r="T37" i="52" s="1"/>
  <c r="T38" i="52" s="1"/>
  <c r="T49" i="52"/>
  <c r="T50" i="52" s="1"/>
  <c r="T51" i="52" s="1"/>
  <c r="T52" i="52" s="1"/>
  <c r="T53" i="52" s="1"/>
  <c r="V45" i="53"/>
  <c r="V42" i="53"/>
  <c r="V43" i="53" s="1"/>
  <c r="V44" i="53" s="1"/>
  <c r="P29" i="51"/>
  <c r="W22" i="53"/>
  <c r="F86" i="47"/>
  <c r="U26" i="52" l="1"/>
  <c r="U27" i="52" s="1"/>
  <c r="U39" i="52"/>
  <c r="U25" i="52" s="1"/>
  <c r="T40" i="52"/>
  <c r="T41" i="52"/>
  <c r="T54" i="52"/>
  <c r="T55" i="52" s="1"/>
  <c r="P22" i="51"/>
  <c r="P49" i="51"/>
  <c r="P50" i="51" s="1"/>
  <c r="W18" i="53"/>
  <c r="B28" i="37"/>
  <c r="U49" i="52" l="1"/>
  <c r="U21" i="52"/>
  <c r="U22" i="52"/>
  <c r="P51" i="51"/>
  <c r="T45" i="52"/>
  <c r="T42" i="52"/>
  <c r="T43" i="52" s="1"/>
  <c r="T44" i="52" s="1"/>
  <c r="P30" i="51"/>
  <c r="P34" i="51" s="1"/>
  <c r="P36" i="51" s="1"/>
  <c r="W48" i="53"/>
  <c r="W50" i="53" s="1"/>
  <c r="W16" i="53"/>
  <c r="W30" i="53" s="1"/>
  <c r="W34" i="53" s="1"/>
  <c r="I24" i="37"/>
  <c r="J24" i="37"/>
  <c r="N24" i="37"/>
  <c r="O24" i="37"/>
  <c r="P24" i="37"/>
  <c r="H24" i="37"/>
  <c r="W36" i="53" l="1"/>
  <c r="W37" i="53" s="1"/>
  <c r="P40" i="51"/>
  <c r="P37" i="51"/>
  <c r="P52" i="51"/>
  <c r="P53" i="51" s="1"/>
  <c r="U18" i="52"/>
  <c r="W51" i="53"/>
  <c r="G31" i="37"/>
  <c r="G33" i="37" s="1"/>
  <c r="G24" i="37"/>
  <c r="M24" i="37"/>
  <c r="G12" i="47"/>
  <c r="H31" i="37"/>
  <c r="H26" i="47" s="1"/>
  <c r="H19" i="47"/>
  <c r="H12" i="47"/>
  <c r="K31" i="37"/>
  <c r="J31" i="37"/>
  <c r="L31" i="37"/>
  <c r="I31" i="37"/>
  <c r="W40" i="53" l="1"/>
  <c r="U48" i="52"/>
  <c r="U50" i="52" s="1"/>
  <c r="U16" i="52"/>
  <c r="U30" i="52" s="1"/>
  <c r="U34" i="52" s="1"/>
  <c r="P38" i="51"/>
  <c r="Q39" i="51"/>
  <c r="Q25" i="51" s="1"/>
  <c r="Q26" i="51"/>
  <c r="W52" i="53"/>
  <c r="W53" i="53" s="1"/>
  <c r="P41" i="51"/>
  <c r="P45" i="51" s="1"/>
  <c r="P54" i="51"/>
  <c r="P55" i="51" s="1"/>
  <c r="W38" i="53"/>
  <c r="X25" i="53" s="1"/>
  <c r="X26" i="53"/>
  <c r="G26" i="47"/>
  <c r="G28" i="47" s="1"/>
  <c r="H28" i="47" s="1"/>
  <c r="H33" i="37"/>
  <c r="I33" i="37" s="1"/>
  <c r="B31" i="37"/>
  <c r="G19" i="47"/>
  <c r="Q27" i="51" l="1"/>
  <c r="Q21" i="51"/>
  <c r="P42" i="51"/>
  <c r="W41" i="53"/>
  <c r="W54" i="53"/>
  <c r="W55" i="53" s="1"/>
  <c r="X27" i="53"/>
  <c r="X49" i="53" s="1"/>
  <c r="X21" i="53"/>
  <c r="U36" i="52"/>
  <c r="U37" i="52" s="1"/>
  <c r="U51" i="52"/>
  <c r="J32" i="37"/>
  <c r="J27" i="47" s="1"/>
  <c r="X22" i="53" l="1"/>
  <c r="U52" i="52"/>
  <c r="U53" i="52" s="1"/>
  <c r="V39" i="52"/>
  <c r="V25" i="52" s="1"/>
  <c r="U38" i="52"/>
  <c r="V26" i="52"/>
  <c r="W45" i="53"/>
  <c r="W42" i="53"/>
  <c r="W43" i="53" s="1"/>
  <c r="W44" i="53" s="1"/>
  <c r="P43" i="51"/>
  <c r="P44" i="51" s="1"/>
  <c r="U40" i="52"/>
  <c r="J33" i="37"/>
  <c r="K32" i="37" s="1"/>
  <c r="K27" i="47" s="1"/>
  <c r="Q18" i="51" l="1"/>
  <c r="V27" i="52"/>
  <c r="V49" i="52" s="1"/>
  <c r="V21" i="52"/>
  <c r="X18" i="53"/>
  <c r="U41" i="52"/>
  <c r="U45" i="52" s="1"/>
  <c r="U54" i="52"/>
  <c r="U55" i="52" s="1"/>
  <c r="K33" i="37"/>
  <c r="L32" i="37" s="1"/>
  <c r="L27" i="47" s="1"/>
  <c r="V22" i="52" l="1"/>
  <c r="X48" i="53"/>
  <c r="X50" i="53" s="1"/>
  <c r="X16" i="53"/>
  <c r="X30" i="53" s="1"/>
  <c r="X34" i="53" s="1"/>
  <c r="U42" i="52"/>
  <c r="U43" i="52" s="1"/>
  <c r="U44" i="52" s="1"/>
  <c r="Q16" i="51"/>
  <c r="Q29" i="51" s="1"/>
  <c r="Q48" i="51"/>
  <c r="L33" i="37"/>
  <c r="M32" i="37" s="1"/>
  <c r="M33" i="37" s="1"/>
  <c r="N32" i="37" s="1"/>
  <c r="Q24" i="49" l="1"/>
  <c r="Q22" i="51"/>
  <c r="Q30" i="51" s="1"/>
  <c r="Q34" i="51" s="1"/>
  <c r="Q49" i="51"/>
  <c r="Q50" i="51" s="1"/>
  <c r="Q51" i="51" s="1"/>
  <c r="X36" i="53"/>
  <c r="X37" i="53" s="1"/>
  <c r="V18" i="52"/>
  <c r="X51" i="53"/>
  <c r="N33" i="37"/>
  <c r="O32" i="37" s="1"/>
  <c r="O33" i="37" s="1"/>
  <c r="P32" i="37" s="1"/>
  <c r="X40" i="53" l="1"/>
  <c r="V16" i="52"/>
  <c r="V30" i="52" s="1"/>
  <c r="V34" i="52" s="1"/>
  <c r="V48" i="52"/>
  <c r="V50" i="52" s="1"/>
  <c r="Q36" i="51"/>
  <c r="Q37" i="51" s="1"/>
  <c r="Q52" i="51"/>
  <c r="Q53" i="51" s="1"/>
  <c r="X52" i="53"/>
  <c r="X53" i="53" s="1"/>
  <c r="X38" i="53"/>
  <c r="Y25" i="53" s="1"/>
  <c r="Y26" i="53"/>
  <c r="B32" i="37"/>
  <c r="P33" i="37"/>
  <c r="Q33" i="37" s="1"/>
  <c r="R33" i="37" s="1"/>
  <c r="S33" i="37" s="1"/>
  <c r="T33" i="37" s="1"/>
  <c r="U33" i="37" s="1"/>
  <c r="V33" i="37" s="1"/>
  <c r="W33" i="37" s="1"/>
  <c r="X33" i="37" s="1"/>
  <c r="Y33" i="37" s="1"/>
  <c r="Z33" i="37" s="1"/>
  <c r="Q40" i="51" l="1"/>
  <c r="Y27" i="53"/>
  <c r="Y49" i="53" s="1"/>
  <c r="Y21" i="53"/>
  <c r="R39" i="51"/>
  <c r="R25" i="51" s="1"/>
  <c r="Q38" i="51"/>
  <c r="R26" i="51"/>
  <c r="Q41" i="51"/>
  <c r="Q45" i="51" s="1"/>
  <c r="Q54" i="51"/>
  <c r="Q55" i="51" s="1"/>
  <c r="V51" i="52"/>
  <c r="X41" i="53"/>
  <c r="X54" i="53"/>
  <c r="X55" i="53" s="1"/>
  <c r="V36" i="52"/>
  <c r="V37" i="52" s="1"/>
  <c r="N19" i="38"/>
  <c r="L19" i="38"/>
  <c r="M19" i="38"/>
  <c r="Y22" i="53" l="1"/>
  <c r="V40" i="52"/>
  <c r="Q42" i="51"/>
  <c r="Q43" i="51" s="1"/>
  <c r="Q44" i="51" s="1"/>
  <c r="V38" i="52"/>
  <c r="W25" i="52" s="1"/>
  <c r="W26" i="52"/>
  <c r="V52" i="52"/>
  <c r="V53" i="52" s="1"/>
  <c r="R27" i="51"/>
  <c r="R21" i="51"/>
  <c r="X45" i="53"/>
  <c r="X42" i="53"/>
  <c r="X43" i="53" s="1"/>
  <c r="X44" i="53" s="1"/>
  <c r="Y18" i="53" l="1"/>
  <c r="R18" i="51"/>
  <c r="V41" i="52"/>
  <c r="V54" i="52"/>
  <c r="V55" i="52" s="1"/>
  <c r="W27" i="52"/>
  <c r="W49" i="52" s="1"/>
  <c r="W21" i="52"/>
  <c r="K35" i="37"/>
  <c r="W22" i="52" l="1"/>
  <c r="V45" i="52"/>
  <c r="V42" i="52"/>
  <c r="V43" i="52" s="1"/>
  <c r="V44" i="52" s="1"/>
  <c r="R16" i="51"/>
  <c r="R29" i="51" s="1"/>
  <c r="R48" i="51"/>
  <c r="Y48" i="53"/>
  <c r="Y50" i="53" s="1"/>
  <c r="Y16" i="53"/>
  <c r="Y30" i="53" s="1"/>
  <c r="Y34" i="53" s="1"/>
  <c r="L35" i="37"/>
  <c r="R24" i="49" l="1"/>
  <c r="B29" i="51"/>
  <c r="R22" i="51"/>
  <c r="R30" i="51" s="1"/>
  <c r="R34" i="51" s="1"/>
  <c r="R49" i="51"/>
  <c r="R50" i="51" s="1"/>
  <c r="R51" i="51" s="1"/>
  <c r="W18" i="52"/>
  <c r="Y36" i="53"/>
  <c r="Y37" i="53" s="1"/>
  <c r="Y51" i="53"/>
  <c r="Y40" i="53" l="1"/>
  <c r="R52" i="51"/>
  <c r="R53" i="51" s="1"/>
  <c r="Y38" i="53"/>
  <c r="Z25" i="53" s="1"/>
  <c r="Z26" i="53"/>
  <c r="R36" i="51"/>
  <c r="R37" i="51" s="1"/>
  <c r="Y52" i="53"/>
  <c r="Y53" i="53" s="1"/>
  <c r="W16" i="52"/>
  <c r="W30" i="52" s="1"/>
  <c r="W34" i="52" s="1"/>
  <c r="W48" i="52"/>
  <c r="W50" i="52" s="1"/>
  <c r="R40" i="51" l="1"/>
  <c r="B25" i="53"/>
  <c r="W36" i="52"/>
  <c r="W37" i="52" s="1"/>
  <c r="S39" i="51"/>
  <c r="S25" i="51" s="1"/>
  <c r="R38" i="51"/>
  <c r="S26" i="51"/>
  <c r="W51" i="52"/>
  <c r="Z27" i="53"/>
  <c r="B27" i="53" s="1"/>
  <c r="B26" i="53"/>
  <c r="Z21" i="53"/>
  <c r="Y41" i="53"/>
  <c r="Y54" i="53"/>
  <c r="Y55" i="53" s="1"/>
  <c r="R41" i="51"/>
  <c r="R45" i="51" s="1"/>
  <c r="R54" i="51"/>
  <c r="R55" i="51" s="1"/>
  <c r="K19" i="37"/>
  <c r="L19" i="37"/>
  <c r="M19" i="37"/>
  <c r="N19" i="37"/>
  <c r="O19" i="37"/>
  <c r="O14" i="47" s="1"/>
  <c r="O61" i="47" s="1"/>
  <c r="P19" i="37"/>
  <c r="P14" i="47" s="1"/>
  <c r="P61" i="47" s="1"/>
  <c r="Y45" i="53" l="1"/>
  <c r="Y42" i="53"/>
  <c r="Y43" i="53" s="1"/>
  <c r="Y44" i="53" s="1"/>
  <c r="R42" i="51"/>
  <c r="W52" i="52"/>
  <c r="W53" i="52" s="1"/>
  <c r="W38" i="52"/>
  <c r="X25" i="52" s="1"/>
  <c r="X26" i="52"/>
  <c r="Z49" i="53"/>
  <c r="B49" i="53" s="1"/>
  <c r="F33" i="48" s="1"/>
  <c r="S27" i="51"/>
  <c r="S22" i="51" s="1"/>
  <c r="S21" i="51"/>
  <c r="W40" i="52"/>
  <c r="Z22" i="53"/>
  <c r="B22" i="53" s="1"/>
  <c r="S49" i="51" l="1"/>
  <c r="X27" i="52"/>
  <c r="X22" i="52" s="1"/>
  <c r="X21" i="52"/>
  <c r="R43" i="51"/>
  <c r="R44" i="51" s="1"/>
  <c r="Z18" i="53"/>
  <c r="W41" i="52"/>
  <c r="W45" i="52" s="1"/>
  <c r="W54" i="52"/>
  <c r="W55" i="52" s="1"/>
  <c r="X49" i="52" l="1"/>
  <c r="S18" i="51"/>
  <c r="Z48" i="53"/>
  <c r="Z16" i="53"/>
  <c r="B18" i="53"/>
  <c r="W42" i="52"/>
  <c r="W43" i="52" s="1"/>
  <c r="W44" i="52" s="1"/>
  <c r="O29" i="37"/>
  <c r="B16" i="53" l="1"/>
  <c r="Z30" i="53"/>
  <c r="Z34" i="53" s="1"/>
  <c r="X18" i="52"/>
  <c r="Z50" i="53"/>
  <c r="B48" i="53"/>
  <c r="F32" i="48" s="1"/>
  <c r="S16" i="51"/>
  <c r="S48" i="51"/>
  <c r="S50" i="51" s="1"/>
  <c r="P29" i="37"/>
  <c r="S30" i="51" l="1"/>
  <c r="S34" i="51" s="1"/>
  <c r="S36" i="51" s="1"/>
  <c r="X16" i="52"/>
  <c r="X30" i="52" s="1"/>
  <c r="X34" i="52" s="1"/>
  <c r="X48" i="52"/>
  <c r="X50" i="52" s="1"/>
  <c r="Z36" i="53"/>
  <c r="Z40" i="53" s="1"/>
  <c r="B50" i="53"/>
  <c r="Z51" i="53"/>
  <c r="Z52" i="53" s="1"/>
  <c r="S51" i="51"/>
  <c r="F29" i="37"/>
  <c r="F22" i="37" s="1"/>
  <c r="F19" i="37" s="1"/>
  <c r="F16" i="37" s="1"/>
  <c r="F30" i="37" s="1"/>
  <c r="F34" i="37" s="1"/>
  <c r="X51" i="52" l="1"/>
  <c r="X36" i="52"/>
  <c r="X37" i="52" s="1"/>
  <c r="S40" i="51"/>
  <c r="S37" i="51"/>
  <c r="S52" i="51"/>
  <c r="S53" i="51" s="1"/>
  <c r="Z53" i="53"/>
  <c r="B52" i="53"/>
  <c r="B36" i="53"/>
  <c r="Z37" i="53"/>
  <c r="Z38" i="53" s="1"/>
  <c r="F24" i="47"/>
  <c r="F17" i="47" s="1"/>
  <c r="F49" i="37"/>
  <c r="F14" i="47"/>
  <c r="F36" i="37"/>
  <c r="F35" i="37"/>
  <c r="X40" i="52" l="1"/>
  <c r="S41" i="51"/>
  <c r="S45" i="51" s="1"/>
  <c r="S54" i="51"/>
  <c r="S55" i="51" s="1"/>
  <c r="X38" i="52"/>
  <c r="Y25" i="52" s="1"/>
  <c r="Y26" i="52"/>
  <c r="Z41" i="53"/>
  <c r="B53" i="53"/>
  <c r="Z54" i="53"/>
  <c r="S38" i="51"/>
  <c r="T39" i="51"/>
  <c r="T25" i="51" s="1"/>
  <c r="T26" i="51"/>
  <c r="X52" i="52"/>
  <c r="X53" i="52" s="1"/>
  <c r="F40" i="37"/>
  <c r="F50" i="37"/>
  <c r="F51" i="37" s="1"/>
  <c r="F52" i="37" s="1"/>
  <c r="F53" i="37" s="1"/>
  <c r="F44" i="47"/>
  <c r="F45" i="47" s="1"/>
  <c r="F46" i="47" s="1"/>
  <c r="F61" i="47"/>
  <c r="F11" i="47"/>
  <c r="F25" i="47" s="1"/>
  <c r="F29" i="47" s="1"/>
  <c r="F37" i="37"/>
  <c r="F30" i="47"/>
  <c r="F31" i="47"/>
  <c r="S42" i="51" l="1"/>
  <c r="S43" i="51" s="1"/>
  <c r="S44" i="51" s="1"/>
  <c r="T27" i="51"/>
  <c r="T49" i="51" s="1"/>
  <c r="T21" i="51"/>
  <c r="B54" i="53"/>
  <c r="Z55" i="53"/>
  <c r="F34" i="48"/>
  <c r="F35" i="48" s="1"/>
  <c r="F36" i="48" s="1"/>
  <c r="B56" i="53"/>
  <c r="B41" i="53"/>
  <c r="Z45" i="53"/>
  <c r="Z42" i="53"/>
  <c r="X41" i="52"/>
  <c r="X54" i="52"/>
  <c r="X55" i="52" s="1"/>
  <c r="Y27" i="52"/>
  <c r="Y22" i="52" s="1"/>
  <c r="Y21" i="52"/>
  <c r="F47" i="47"/>
  <c r="F60" i="47"/>
  <c r="F41" i="37"/>
  <c r="F48" i="47"/>
  <c r="F54" i="37"/>
  <c r="F35" i="47"/>
  <c r="G26" i="37"/>
  <c r="G39" i="37"/>
  <c r="G25" i="37" s="1"/>
  <c r="F38" i="37"/>
  <c r="F33" i="47" s="1"/>
  <c r="F32" i="47"/>
  <c r="T22" i="51" l="1"/>
  <c r="X45" i="52"/>
  <c r="X42" i="52"/>
  <c r="X43" i="52" s="1"/>
  <c r="X44" i="52" s="1"/>
  <c r="Z43" i="53"/>
  <c r="B43" i="53" s="1"/>
  <c r="T18" i="51"/>
  <c r="B46" i="53"/>
  <c r="F37" i="48" s="1"/>
  <c r="B45" i="53"/>
  <c r="Y49" i="52"/>
  <c r="F75" i="47"/>
  <c r="F65" i="47"/>
  <c r="F74" i="47"/>
  <c r="G20" i="47"/>
  <c r="G27" i="37"/>
  <c r="G21" i="37"/>
  <c r="G21" i="47"/>
  <c r="F45" i="37"/>
  <c r="F36" i="47"/>
  <c r="F37" i="47" s="1"/>
  <c r="F39" i="47" s="1"/>
  <c r="F42" i="37"/>
  <c r="F44" i="37" s="1"/>
  <c r="F55" i="37"/>
  <c r="F49" i="47"/>
  <c r="Z44" i="53" l="1"/>
  <c r="T48" i="51"/>
  <c r="T50" i="51" s="1"/>
  <c r="T16" i="51"/>
  <c r="Y18" i="52"/>
  <c r="F66" i="47"/>
  <c r="F67" i="47"/>
  <c r="G18" i="37"/>
  <c r="G58" i="47"/>
  <c r="F40" i="47"/>
  <c r="G16" i="47"/>
  <c r="F50" i="47"/>
  <c r="G22" i="47"/>
  <c r="Y48" i="52" l="1"/>
  <c r="Y50" i="52" s="1"/>
  <c r="Y16" i="52"/>
  <c r="Y30" i="52" s="1"/>
  <c r="Y34" i="52" s="1"/>
  <c r="T30" i="51"/>
  <c r="T34" i="51" s="1"/>
  <c r="T51" i="51"/>
  <c r="F69" i="47"/>
  <c r="F71" i="47" s="1"/>
  <c r="F73" i="47" s="1"/>
  <c r="G57" i="47" s="1"/>
  <c r="F68" i="47"/>
  <c r="G63" i="47" s="1"/>
  <c r="G80" i="47" s="1"/>
  <c r="G48" i="37"/>
  <c r="G13" i="47"/>
  <c r="G59" i="47"/>
  <c r="T36" i="51" l="1"/>
  <c r="T37" i="51" s="1"/>
  <c r="Y36" i="52"/>
  <c r="Y37" i="52" s="1"/>
  <c r="T52" i="51"/>
  <c r="T53" i="51" s="1"/>
  <c r="Y51" i="52"/>
  <c r="G55" i="47"/>
  <c r="G76" i="47" s="1"/>
  <c r="G43" i="47"/>
  <c r="G79" i="47"/>
  <c r="G29" i="37"/>
  <c r="T40" i="51" l="1"/>
  <c r="Y52" i="52"/>
  <c r="Y53" i="52" s="1"/>
  <c r="Y40" i="52"/>
  <c r="Y38" i="52"/>
  <c r="Z25" i="52" s="1"/>
  <c r="Z26" i="52"/>
  <c r="T41" i="51"/>
  <c r="T45" i="51" s="1"/>
  <c r="T54" i="51"/>
  <c r="T55" i="51" s="1"/>
  <c r="U39" i="51"/>
  <c r="U25" i="51" s="1"/>
  <c r="T38" i="51"/>
  <c r="U26" i="51"/>
  <c r="G24" i="47"/>
  <c r="G22" i="37"/>
  <c r="G19" i="37" s="1"/>
  <c r="G49" i="37"/>
  <c r="G81" i="47"/>
  <c r="B25" i="52" l="1"/>
  <c r="T42" i="51"/>
  <c r="Z27" i="52"/>
  <c r="B27" i="52" s="1"/>
  <c r="B26" i="52"/>
  <c r="Z21" i="52"/>
  <c r="U27" i="51"/>
  <c r="U22" i="51" s="1"/>
  <c r="U21" i="51"/>
  <c r="Y41" i="52"/>
  <c r="Y45" i="52" s="1"/>
  <c r="Y54" i="52"/>
  <c r="Y55" i="52" s="1"/>
  <c r="G14" i="47"/>
  <c r="G16" i="37"/>
  <c r="G30" i="37" s="1"/>
  <c r="G34" i="37" s="1"/>
  <c r="G44" i="47"/>
  <c r="G50" i="37"/>
  <c r="G82" i="47"/>
  <c r="G17" i="47"/>
  <c r="T43" i="51" l="1"/>
  <c r="T44" i="51" s="1"/>
  <c r="U49" i="51"/>
  <c r="Z22" i="52"/>
  <c r="B22" i="52" s="1"/>
  <c r="Y42" i="52"/>
  <c r="Y43" i="52" s="1"/>
  <c r="Y44" i="52" s="1"/>
  <c r="Z49" i="52"/>
  <c r="B49" i="52" s="1"/>
  <c r="E33" i="48" s="1"/>
  <c r="G61" i="47"/>
  <c r="G11" i="47"/>
  <c r="G25" i="47" s="1"/>
  <c r="G29" i="47" s="1"/>
  <c r="G36" i="37"/>
  <c r="G35" i="37"/>
  <c r="G45" i="47"/>
  <c r="G83" i="47"/>
  <c r="G51" i="37"/>
  <c r="U18" i="51" l="1"/>
  <c r="Z18" i="52"/>
  <c r="G60" i="47"/>
  <c r="G65" i="47" s="1"/>
  <c r="G52" i="37"/>
  <c r="G30" i="47"/>
  <c r="G37" i="37"/>
  <c r="G84" i="47"/>
  <c r="G31" i="47"/>
  <c r="G46" i="47"/>
  <c r="G40" i="37"/>
  <c r="Z48" i="52" l="1"/>
  <c r="Z16" i="52"/>
  <c r="B18" i="52"/>
  <c r="U16" i="51"/>
  <c r="U48" i="51"/>
  <c r="U50" i="51" s="1"/>
  <c r="G66" i="47"/>
  <c r="G67" i="47"/>
  <c r="H39" i="37"/>
  <c r="H25" i="37" s="1"/>
  <c r="G38" i="37"/>
  <c r="G33" i="47" s="1"/>
  <c r="G32" i="47"/>
  <c r="H26" i="37"/>
  <c r="G53" i="37"/>
  <c r="G47" i="47"/>
  <c r="G35" i="47"/>
  <c r="G70" i="47"/>
  <c r="G85" i="47"/>
  <c r="U30" i="51" l="1"/>
  <c r="U34" i="51" s="1"/>
  <c r="B16" i="52"/>
  <c r="Z30" i="52"/>
  <c r="Z34" i="52" s="1"/>
  <c r="U51" i="51"/>
  <c r="Z50" i="52"/>
  <c r="B48" i="52"/>
  <c r="E32" i="48" s="1"/>
  <c r="G69" i="47"/>
  <c r="G71" i="47" s="1"/>
  <c r="G73" i="47" s="1"/>
  <c r="G68" i="47"/>
  <c r="H63" i="47" s="1"/>
  <c r="H20" i="47"/>
  <c r="H27" i="37"/>
  <c r="H21" i="47"/>
  <c r="H21" i="37"/>
  <c r="G86" i="47"/>
  <c r="G75" i="47"/>
  <c r="G74" i="47"/>
  <c r="G41" i="37"/>
  <c r="G48" i="47"/>
  <c r="G54" i="37"/>
  <c r="B50" i="52" l="1"/>
  <c r="Z51" i="52"/>
  <c r="Z52" i="52" s="1"/>
  <c r="U52" i="51"/>
  <c r="U53" i="51" s="1"/>
  <c r="U36" i="51"/>
  <c r="U37" i="51" s="1"/>
  <c r="Z36" i="52"/>
  <c r="H80" i="47"/>
  <c r="H57" i="47"/>
  <c r="G49" i="47"/>
  <c r="G55" i="37"/>
  <c r="H58" i="47"/>
  <c r="H22" i="47"/>
  <c r="G36" i="47"/>
  <c r="G45" i="37"/>
  <c r="G42" i="37"/>
  <c r="G44" i="37" s="1"/>
  <c r="H16" i="47"/>
  <c r="U40" i="51" l="1"/>
  <c r="B36" i="52"/>
  <c r="Z37" i="52"/>
  <c r="Z38" i="52" s="1"/>
  <c r="U41" i="51"/>
  <c r="U45" i="51" s="1"/>
  <c r="U54" i="51"/>
  <c r="U55" i="51" s="1"/>
  <c r="Z53" i="52"/>
  <c r="B52" i="52"/>
  <c r="V39" i="51"/>
  <c r="V25" i="51" s="1"/>
  <c r="U38" i="51"/>
  <c r="V26" i="51"/>
  <c r="Z40" i="52"/>
  <c r="H18" i="37"/>
  <c r="G50" i="47"/>
  <c r="G40" i="47"/>
  <c r="G37" i="47"/>
  <c r="G39" i="47" s="1"/>
  <c r="H59" i="47"/>
  <c r="U42" i="51" l="1"/>
  <c r="U43" i="51" s="1"/>
  <c r="U44" i="51" s="1"/>
  <c r="V27" i="51"/>
  <c r="V49" i="51" s="1"/>
  <c r="V21" i="51"/>
  <c r="Z41" i="52"/>
  <c r="B53" i="52"/>
  <c r="Z54" i="52"/>
  <c r="H79" i="47"/>
  <c r="H48" i="37"/>
  <c r="H13" i="47"/>
  <c r="H55" i="47"/>
  <c r="V18" i="51" l="1"/>
  <c r="B54" i="52"/>
  <c r="Z55" i="52"/>
  <c r="V22" i="51"/>
  <c r="B56" i="52"/>
  <c r="E34" i="48"/>
  <c r="E35" i="48" s="1"/>
  <c r="E36" i="48" s="1"/>
  <c r="B41" i="52"/>
  <c r="Z45" i="52"/>
  <c r="Z42" i="52"/>
  <c r="H43" i="47"/>
  <c r="H81" i="47"/>
  <c r="H76" i="47"/>
  <c r="H29" i="37"/>
  <c r="Z43" i="52" l="1"/>
  <c r="B43" i="52" s="1"/>
  <c r="B46" i="52"/>
  <c r="E37" i="48" s="1"/>
  <c r="B45" i="52"/>
  <c r="V16" i="51"/>
  <c r="V48" i="51"/>
  <c r="V50" i="51" s="1"/>
  <c r="H82" i="47"/>
  <c r="H24" i="47"/>
  <c r="H49" i="37"/>
  <c r="H22" i="37"/>
  <c r="H19" i="37" s="1"/>
  <c r="Z44" i="52" l="1"/>
  <c r="V51" i="51"/>
  <c r="V30" i="51"/>
  <c r="V34" i="51" s="1"/>
  <c r="V36" i="51" s="1"/>
  <c r="H14" i="47"/>
  <c r="H16" i="37"/>
  <c r="H30" i="37" s="1"/>
  <c r="H34" i="37" s="1"/>
  <c r="H17" i="47"/>
  <c r="H83" i="47"/>
  <c r="H44" i="47"/>
  <c r="H50" i="37"/>
  <c r="V40" i="51" l="1"/>
  <c r="V37" i="51"/>
  <c r="V52" i="51"/>
  <c r="V53" i="51" s="1"/>
  <c r="H61" i="47"/>
  <c r="H11" i="47"/>
  <c r="H25" i="47" s="1"/>
  <c r="H29" i="47" s="1"/>
  <c r="H84" i="47"/>
  <c r="H36" i="37"/>
  <c r="H35" i="37"/>
  <c r="H51" i="37"/>
  <c r="H45" i="47"/>
  <c r="V41" i="51" l="1"/>
  <c r="V45" i="51" s="1"/>
  <c r="V54" i="51"/>
  <c r="V55" i="51" s="1"/>
  <c r="V38" i="51"/>
  <c r="W25" i="51" s="1"/>
  <c r="W26" i="51"/>
  <c r="H40" i="37"/>
  <c r="H60" i="47"/>
  <c r="H65" i="47" s="1"/>
  <c r="H31" i="47"/>
  <c r="H46" i="47"/>
  <c r="H52" i="37"/>
  <c r="H30" i="47"/>
  <c r="H37" i="37"/>
  <c r="H70" i="47"/>
  <c r="H85" i="47"/>
  <c r="V42" i="51" l="1"/>
  <c r="V43" i="51" s="1"/>
  <c r="V44" i="51" s="1"/>
  <c r="W27" i="51"/>
  <c r="W49" i="51" s="1"/>
  <c r="W21" i="51"/>
  <c r="H67" i="47"/>
  <c r="H66" i="47"/>
  <c r="H35" i="47"/>
  <c r="H53" i="37"/>
  <c r="H47" i="47"/>
  <c r="H75" i="47"/>
  <c r="H74" i="47"/>
  <c r="I39" i="37"/>
  <c r="I25" i="37" s="1"/>
  <c r="H38" i="37"/>
  <c r="H33" i="47" s="1"/>
  <c r="H32" i="47"/>
  <c r="I26" i="37"/>
  <c r="H86" i="47"/>
  <c r="W18" i="51" l="1"/>
  <c r="W22" i="51"/>
  <c r="H68" i="47"/>
  <c r="I63" i="47" s="1"/>
  <c r="I80" i="47" s="1"/>
  <c r="H69" i="47"/>
  <c r="H71" i="47" s="1"/>
  <c r="H73" i="47" s="1"/>
  <c r="I57" i="47" s="1"/>
  <c r="I20" i="47"/>
  <c r="I27" i="37"/>
  <c r="I21" i="47"/>
  <c r="I21" i="37"/>
  <c r="H41" i="37"/>
  <c r="H48" i="47"/>
  <c r="H54" i="37"/>
  <c r="W16" i="51" l="1"/>
  <c r="W48" i="51"/>
  <c r="W50" i="51" s="1"/>
  <c r="H49" i="47"/>
  <c r="H55" i="37"/>
  <c r="I58" i="47"/>
  <c r="I22" i="47"/>
  <c r="I16" i="47"/>
  <c r="H36" i="47"/>
  <c r="H45" i="37"/>
  <c r="H42" i="37"/>
  <c r="H44" i="37" s="1"/>
  <c r="W51" i="51" l="1"/>
  <c r="W30" i="51"/>
  <c r="W34" i="51" s="1"/>
  <c r="W36" i="51" s="1"/>
  <c r="H50" i="47"/>
  <c r="H40" i="47"/>
  <c r="H37" i="47"/>
  <c r="H39" i="47" s="1"/>
  <c r="I18" i="37"/>
  <c r="I59" i="47"/>
  <c r="W40" i="51" l="1"/>
  <c r="W37" i="51"/>
  <c r="W52" i="51"/>
  <c r="W53" i="51" s="1"/>
  <c r="I79" i="47"/>
  <c r="I48" i="37"/>
  <c r="I13" i="47"/>
  <c r="W41" i="51" l="1"/>
  <c r="W45" i="51" s="1"/>
  <c r="W54" i="51"/>
  <c r="W55" i="51" s="1"/>
  <c r="W38" i="51"/>
  <c r="X25" i="51" s="1"/>
  <c r="X26" i="51"/>
  <c r="I29" i="37"/>
  <c r="I81" i="47"/>
  <c r="W42" i="51" l="1"/>
  <c r="W43" i="51" s="1"/>
  <c r="W44" i="51" s="1"/>
  <c r="X27" i="51"/>
  <c r="X49" i="51" s="1"/>
  <c r="X21" i="51"/>
  <c r="I22" i="37"/>
  <c r="I19" i="37" s="1"/>
  <c r="I49" i="37"/>
  <c r="I82" i="47"/>
  <c r="X22" i="51" l="1"/>
  <c r="X18" i="51"/>
  <c r="I16" i="37"/>
  <c r="I30" i="37" s="1"/>
  <c r="I34" i="37" s="1"/>
  <c r="I83" i="47"/>
  <c r="I50" i="37"/>
  <c r="X16" i="51" l="1"/>
  <c r="X48" i="51"/>
  <c r="X50" i="51" s="1"/>
  <c r="I51" i="37"/>
  <c r="I84" i="47"/>
  <c r="I36" i="37"/>
  <c r="I35" i="37"/>
  <c r="X51" i="51" l="1"/>
  <c r="X30" i="51"/>
  <c r="X34" i="51" s="1"/>
  <c r="X36" i="51" s="1"/>
  <c r="I52" i="37"/>
  <c r="I40" i="37"/>
  <c r="I37" i="37"/>
  <c r="I70" i="47"/>
  <c r="I85" i="47"/>
  <c r="X40" i="51" l="1"/>
  <c r="X37" i="51"/>
  <c r="X52" i="51"/>
  <c r="X53" i="51" s="1"/>
  <c r="J39" i="37"/>
  <c r="J25" i="37" s="1"/>
  <c r="I38" i="37"/>
  <c r="J26" i="37"/>
  <c r="I86" i="47"/>
  <c r="I53" i="37"/>
  <c r="X41" i="51" l="1"/>
  <c r="X45" i="51" s="1"/>
  <c r="X54" i="51"/>
  <c r="X55" i="51" s="1"/>
  <c r="X38" i="51"/>
  <c r="Y25" i="51" s="1"/>
  <c r="Y26" i="51"/>
  <c r="J27" i="37"/>
  <c r="J21" i="37"/>
  <c r="I41" i="37"/>
  <c r="I54" i="37"/>
  <c r="X42" i="51" l="1"/>
  <c r="X43" i="51" s="1"/>
  <c r="X44" i="51" s="1"/>
  <c r="Y27" i="51"/>
  <c r="Y22" i="51" s="1"/>
  <c r="Y21" i="51"/>
  <c r="I55" i="37"/>
  <c r="I45" i="37"/>
  <c r="I42" i="37"/>
  <c r="I44" i="37" s="1"/>
  <c r="Y18" i="51" l="1"/>
  <c r="Y49" i="51"/>
  <c r="J18" i="37"/>
  <c r="Y16" i="51" l="1"/>
  <c r="Y48" i="51"/>
  <c r="Y50" i="51" s="1"/>
  <c r="J48" i="37"/>
  <c r="Y30" i="51" l="1"/>
  <c r="Y34" i="51" s="1"/>
  <c r="Y51" i="51"/>
  <c r="J29" i="37"/>
  <c r="Y52" i="51" l="1"/>
  <c r="Y53" i="51" s="1"/>
  <c r="Y36" i="51"/>
  <c r="Y37" i="51" s="1"/>
  <c r="J49" i="37"/>
  <c r="J22" i="37"/>
  <c r="J19" i="37" s="1"/>
  <c r="Y40" i="51" l="1"/>
  <c r="Y38" i="51"/>
  <c r="Z25" i="51" s="1"/>
  <c r="Z26" i="51"/>
  <c r="Y41" i="51"/>
  <c r="Y45" i="51" s="1"/>
  <c r="Y54" i="51"/>
  <c r="Y55" i="51" s="1"/>
  <c r="B19" i="37"/>
  <c r="J16" i="37"/>
  <c r="J30" i="37" s="1"/>
  <c r="J34" i="37" s="1"/>
  <c r="J35" i="37" s="1"/>
  <c r="J50" i="37"/>
  <c r="Z27" i="51" l="1"/>
  <c r="B27" i="51" s="1"/>
  <c r="B26" i="51"/>
  <c r="Z21" i="51"/>
  <c r="B25" i="51"/>
  <c r="Y42" i="51"/>
  <c r="B35" i="37"/>
  <c r="J36" i="37"/>
  <c r="J40" i="37" s="1"/>
  <c r="J51" i="37"/>
  <c r="Z22" i="51" l="1"/>
  <c r="B22" i="51" s="1"/>
  <c r="Z49" i="51"/>
  <c r="B49" i="51" s="1"/>
  <c r="D33" i="48" s="1"/>
  <c r="Y43" i="51"/>
  <c r="Y44" i="51" s="1"/>
  <c r="J52" i="37"/>
  <c r="J37" i="37"/>
  <c r="Z18" i="51" l="1"/>
  <c r="J53" i="37"/>
  <c r="K39" i="37"/>
  <c r="K25" i="37" s="1"/>
  <c r="J38" i="37"/>
  <c r="K26" i="37"/>
  <c r="Z16" i="51" l="1"/>
  <c r="Z48" i="51"/>
  <c r="B18" i="51"/>
  <c r="K27" i="37"/>
  <c r="K21" i="37"/>
  <c r="J41" i="37"/>
  <c r="J54" i="37"/>
  <c r="Z50" i="51" l="1"/>
  <c r="B48" i="51"/>
  <c r="D32" i="48" s="1"/>
  <c r="B16" i="51"/>
  <c r="Z30" i="51"/>
  <c r="Z34" i="51" s="1"/>
  <c r="Z36" i="51" s="1"/>
  <c r="J45" i="37"/>
  <c r="J42" i="37"/>
  <c r="J44" i="37" s="1"/>
  <c r="J55" i="37"/>
  <c r="Z40" i="51" l="1"/>
  <c r="B36" i="51"/>
  <c r="Z37" i="51"/>
  <c r="Z38" i="51" s="1"/>
  <c r="B50" i="51"/>
  <c r="Z51" i="51"/>
  <c r="Z52" i="51" s="1"/>
  <c r="K18" i="37"/>
  <c r="B64" i="47"/>
  <c r="B41" i="35"/>
  <c r="X32" i="39"/>
  <c r="X32" i="40"/>
  <c r="W32" i="39"/>
  <c r="W32" i="40"/>
  <c r="Y32" i="40"/>
  <c r="Y27" i="47" s="1"/>
  <c r="Z32" i="40"/>
  <c r="Z27" i="47" s="1"/>
  <c r="V32" i="39"/>
  <c r="T32" i="38"/>
  <c r="Z53" i="51" l="1"/>
  <c r="B52" i="51"/>
  <c r="X27" i="47"/>
  <c r="W27" i="47"/>
  <c r="Z41" i="51" l="1"/>
  <c r="B53" i="51"/>
  <c r="Z54" i="51"/>
  <c r="L17" i="37"/>
  <c r="B54" i="51" l="1"/>
  <c r="Z55" i="51"/>
  <c r="B56" i="51"/>
  <c r="D34" i="48"/>
  <c r="D35" i="48" s="1"/>
  <c r="D36" i="48" s="1"/>
  <c r="B41" i="51"/>
  <c r="Z45" i="51"/>
  <c r="Z42" i="51"/>
  <c r="L24" i="37"/>
  <c r="Z43" i="51" l="1"/>
  <c r="B43" i="51" s="1"/>
  <c r="B45" i="51"/>
  <c r="B46" i="51"/>
  <c r="D37" i="48" s="1"/>
  <c r="Z44" i="51" l="1"/>
  <c r="G29" i="50" l="1"/>
  <c r="G22" i="50" s="1"/>
  <c r="G19" i="50" s="1"/>
  <c r="H19" i="50"/>
  <c r="H14" i="49" s="1"/>
  <c r="H61" i="49" s="1"/>
  <c r="I19" i="50"/>
  <c r="I14" i="49" s="1"/>
  <c r="I61" i="49" s="1"/>
  <c r="J19" i="50"/>
  <c r="J14" i="49" s="1"/>
  <c r="J61" i="49" s="1"/>
  <c r="G24" i="49" l="1"/>
  <c r="G17" i="49" s="1"/>
  <c r="B19" i="50"/>
  <c r="G49" i="50"/>
  <c r="G14" i="49"/>
  <c r="G16" i="50"/>
  <c r="G44" i="49" l="1"/>
  <c r="G45" i="49" s="1"/>
  <c r="G46" i="49" s="1"/>
  <c r="G50" i="50"/>
  <c r="G30" i="50"/>
  <c r="G34" i="50" s="1"/>
  <c r="G61" i="49"/>
  <c r="G11" i="49"/>
  <c r="B14" i="49"/>
  <c r="G51" i="50" l="1"/>
  <c r="G52" i="50" s="1"/>
  <c r="B61" i="49"/>
  <c r="G25" i="49"/>
  <c r="G29" i="49" s="1"/>
  <c r="G35" i="50"/>
  <c r="G36" i="50"/>
  <c r="G53" i="50" l="1"/>
  <c r="G47" i="49"/>
  <c r="G37" i="50"/>
  <c r="G30" i="49"/>
  <c r="G31" i="49"/>
  <c r="G40" i="50"/>
  <c r="G35" i="49" l="1"/>
  <c r="G41" i="50"/>
  <c r="G48" i="49"/>
  <c r="G54" i="50"/>
  <c r="H26" i="50"/>
  <c r="H39" i="50"/>
  <c r="H25" i="50" s="1"/>
  <c r="G32" i="49"/>
  <c r="G38" i="50"/>
  <c r="G33" i="49" s="1"/>
  <c r="G36" i="49" l="1"/>
  <c r="G45" i="50"/>
  <c r="G42" i="50"/>
  <c r="G44" i="50" s="1"/>
  <c r="H18" i="50" s="1"/>
  <c r="H48" i="50" s="1"/>
  <c r="G49" i="49"/>
  <c r="G55" i="50"/>
  <c r="G50" i="49" s="1"/>
  <c r="H20" i="49"/>
  <c r="H21" i="49"/>
  <c r="H27" i="50"/>
  <c r="H21" i="50"/>
  <c r="H16" i="50" l="1"/>
  <c r="H29" i="50" s="1"/>
  <c r="H13" i="49"/>
  <c r="H11" i="49" s="1"/>
  <c r="G40" i="49"/>
  <c r="G37" i="49"/>
  <c r="G39" i="49" s="1"/>
  <c r="H58" i="49"/>
  <c r="H16" i="49"/>
  <c r="H22" i="49"/>
  <c r="H43" i="49"/>
  <c r="H59" i="49" l="1"/>
  <c r="H24" i="49"/>
  <c r="H17" i="49" s="1"/>
  <c r="H22" i="50"/>
  <c r="H49" i="50"/>
  <c r="H44" i="49" l="1"/>
  <c r="H50" i="50"/>
  <c r="H30" i="50"/>
  <c r="H34" i="50" s="1"/>
  <c r="H25" i="49"/>
  <c r="H29" i="49" s="1"/>
  <c r="H45" i="49" l="1"/>
  <c r="H35" i="50"/>
  <c r="H36" i="50"/>
  <c r="H51" i="50"/>
  <c r="H30" i="49" l="1"/>
  <c r="H37" i="50"/>
  <c r="H40" i="50"/>
  <c r="H52" i="50"/>
  <c r="H46" i="49"/>
  <c r="H31" i="49"/>
  <c r="I39" i="50" l="1"/>
  <c r="I25" i="50" s="1"/>
  <c r="H32" i="49"/>
  <c r="H38" i="50"/>
  <c r="H33" i="49" s="1"/>
  <c r="I26" i="50"/>
  <c r="H53" i="50"/>
  <c r="H47" i="49"/>
  <c r="H35" i="49"/>
  <c r="I20" i="49" l="1"/>
  <c r="I21" i="49"/>
  <c r="I27" i="50"/>
  <c r="I21" i="50"/>
  <c r="H41" i="50"/>
  <c r="H48" i="49"/>
  <c r="H54" i="50"/>
  <c r="H36" i="49" l="1"/>
  <c r="H45" i="50"/>
  <c r="H42" i="50"/>
  <c r="H44" i="50" s="1"/>
  <c r="I22" i="49"/>
  <c r="I16" i="49"/>
  <c r="H49" i="49"/>
  <c r="H55" i="50"/>
  <c r="I58" i="49"/>
  <c r="I59" i="49" l="1"/>
  <c r="H40" i="49"/>
  <c r="H37" i="49"/>
  <c r="H39" i="49" s="1"/>
  <c r="H50" i="49"/>
  <c r="I18" i="50"/>
  <c r="I16" i="50" l="1"/>
  <c r="I48" i="50"/>
  <c r="I13" i="49"/>
  <c r="I29" i="50" l="1"/>
  <c r="I43" i="49"/>
  <c r="I11" i="49"/>
  <c r="I24" i="49" l="1"/>
  <c r="I22" i="50"/>
  <c r="I49" i="50"/>
  <c r="I44" i="49" l="1"/>
  <c r="I50" i="50"/>
  <c r="I30" i="50"/>
  <c r="I34" i="50" s="1"/>
  <c r="I17" i="49"/>
  <c r="I51" i="50" l="1"/>
  <c r="I25" i="49"/>
  <c r="I29" i="49" s="1"/>
  <c r="I36" i="50"/>
  <c r="I35" i="50"/>
  <c r="I40" i="50" s="1"/>
  <c r="I45" i="49"/>
  <c r="I46" i="49" l="1"/>
  <c r="I30" i="49"/>
  <c r="I37" i="50"/>
  <c r="I31" i="49"/>
  <c r="I52" i="50"/>
  <c r="I35" i="49" l="1"/>
  <c r="I53" i="50"/>
  <c r="I47" i="49"/>
  <c r="J39" i="50"/>
  <c r="J25" i="50" s="1"/>
  <c r="I32" i="49"/>
  <c r="I38" i="50"/>
  <c r="I33" i="49" s="1"/>
  <c r="J26" i="50"/>
  <c r="J20" i="49" l="1"/>
  <c r="J27" i="50"/>
  <c r="J21" i="49"/>
  <c r="J21" i="50"/>
  <c r="I41" i="50"/>
  <c r="I48" i="49"/>
  <c r="I54" i="50"/>
  <c r="J22" i="49" l="1"/>
  <c r="I36" i="49"/>
  <c r="I45" i="50"/>
  <c r="I42" i="50"/>
  <c r="I44" i="50" s="1"/>
  <c r="I49" i="49"/>
  <c r="I55" i="50"/>
  <c r="J16" i="49"/>
  <c r="J58" i="49"/>
  <c r="J18" i="50" l="1"/>
  <c r="J59" i="49"/>
  <c r="I50" i="49"/>
  <c r="I40" i="49"/>
  <c r="I37" i="49"/>
  <c r="I39" i="49" s="1"/>
  <c r="J16" i="50" l="1"/>
  <c r="J48" i="50"/>
  <c r="J13" i="49"/>
  <c r="J29" i="50" l="1"/>
  <c r="J11" i="49"/>
  <c r="J43" i="49"/>
  <c r="J24" i="49" l="1"/>
  <c r="J22" i="50"/>
  <c r="J49" i="50"/>
  <c r="J17" i="49" l="1"/>
  <c r="J44" i="49"/>
  <c r="J50" i="50"/>
  <c r="J30" i="50"/>
  <c r="J34" i="50" s="1"/>
  <c r="J35" i="50" l="1"/>
  <c r="J36" i="50"/>
  <c r="J25" i="49"/>
  <c r="J29" i="49" s="1"/>
  <c r="J45" i="49"/>
  <c r="J51" i="50"/>
  <c r="J30" i="49" l="1"/>
  <c r="J37" i="50"/>
  <c r="J40" i="50"/>
  <c r="J52" i="50"/>
  <c r="J46" i="49"/>
  <c r="J31" i="49"/>
  <c r="J35" i="49" l="1"/>
  <c r="J53" i="50"/>
  <c r="J47" i="49"/>
  <c r="K39" i="50"/>
  <c r="K25" i="50" s="1"/>
  <c r="J38" i="50"/>
  <c r="J33" i="49" s="1"/>
  <c r="J32" i="49"/>
  <c r="K26" i="50"/>
  <c r="K20" i="49" l="1"/>
  <c r="J41" i="50"/>
  <c r="J48" i="49"/>
  <c r="J54" i="50"/>
  <c r="K21" i="49"/>
  <c r="K27" i="50"/>
  <c r="K21" i="50"/>
  <c r="K16" i="49" l="1"/>
  <c r="J49" i="49"/>
  <c r="J55" i="50"/>
  <c r="K22" i="49"/>
  <c r="K58" i="49"/>
  <c r="J36" i="49"/>
  <c r="J45" i="50"/>
  <c r="J42" i="50"/>
  <c r="J44" i="50" s="1"/>
  <c r="K59" i="49" l="1"/>
  <c r="J40" i="49"/>
  <c r="J37" i="49"/>
  <c r="J39" i="49" s="1"/>
  <c r="K18" i="50"/>
  <c r="J50" i="49"/>
  <c r="K16" i="50" l="1"/>
  <c r="K48" i="50"/>
  <c r="K13" i="49"/>
  <c r="K11" i="49" l="1"/>
  <c r="K43" i="49"/>
  <c r="K29" i="50"/>
  <c r="K24" i="49" l="1"/>
  <c r="K22" i="50"/>
  <c r="K49" i="50"/>
  <c r="K44" i="49" l="1"/>
  <c r="K50" i="50"/>
  <c r="K30" i="50"/>
  <c r="K34" i="50" s="1"/>
  <c r="K17" i="49"/>
  <c r="K51" i="50" l="1"/>
  <c r="K25" i="49"/>
  <c r="K29" i="49" s="1"/>
  <c r="K35" i="50"/>
  <c r="K36" i="50"/>
  <c r="K45" i="49"/>
  <c r="K30" i="49" l="1"/>
  <c r="K37" i="50"/>
  <c r="K31" i="49"/>
  <c r="K46" i="49"/>
  <c r="K40" i="50"/>
  <c r="K52" i="50"/>
  <c r="K35" i="49" l="1"/>
  <c r="L39" i="50"/>
  <c r="L25" i="50" s="1"/>
  <c r="K38" i="50"/>
  <c r="K33" i="49" s="1"/>
  <c r="K32" i="49"/>
  <c r="L26" i="50"/>
  <c r="K53" i="50"/>
  <c r="K47" i="49"/>
  <c r="L20" i="49" l="1"/>
  <c r="L21" i="49"/>
  <c r="L27" i="50"/>
  <c r="L21" i="50"/>
  <c r="K41" i="50"/>
  <c r="K48" i="49"/>
  <c r="K54" i="50"/>
  <c r="L22" i="49" l="1"/>
  <c r="K36" i="49"/>
  <c r="K45" i="50"/>
  <c r="K42" i="50"/>
  <c r="K44" i="50" s="1"/>
  <c r="L58" i="49"/>
  <c r="K49" i="49"/>
  <c r="K55" i="50"/>
  <c r="L16" i="49"/>
  <c r="L18" i="50" l="1"/>
  <c r="K50" i="49"/>
  <c r="K40" i="49"/>
  <c r="K37" i="49"/>
  <c r="K39" i="49" s="1"/>
  <c r="L59" i="49"/>
  <c r="L16" i="50" l="1"/>
  <c r="L48" i="50"/>
  <c r="L13" i="49"/>
  <c r="L11" i="49" l="1"/>
  <c r="L43" i="49"/>
  <c r="L29" i="50"/>
  <c r="L24" i="49" l="1"/>
  <c r="L17" i="49" s="1"/>
  <c r="L49" i="50"/>
  <c r="L22" i="50"/>
  <c r="L44" i="49" l="1"/>
  <c r="L50" i="50"/>
  <c r="L30" i="50"/>
  <c r="L34" i="50" s="1"/>
  <c r="L25" i="49"/>
  <c r="L29" i="49" s="1"/>
  <c r="L51" i="50" l="1"/>
  <c r="L35" i="50"/>
  <c r="L36" i="50"/>
  <c r="L31" i="49" s="1"/>
  <c r="L45" i="49"/>
  <c r="L30" i="49" l="1"/>
  <c r="B35" i="50"/>
  <c r="L37" i="50"/>
  <c r="L46" i="49"/>
  <c r="L52" i="50"/>
  <c r="L40" i="50"/>
  <c r="L53" i="50" l="1"/>
  <c r="L47" i="49"/>
  <c r="B30" i="49"/>
  <c r="L35" i="49"/>
  <c r="M39" i="50"/>
  <c r="M25" i="50" s="1"/>
  <c r="L32" i="49"/>
  <c r="L38" i="50"/>
  <c r="L33" i="49" s="1"/>
  <c r="M26" i="50"/>
  <c r="M20" i="49" l="1"/>
  <c r="L41" i="50"/>
  <c r="L48" i="49"/>
  <c r="L54" i="50"/>
  <c r="M27" i="50"/>
  <c r="M22" i="49" s="1"/>
  <c r="M59" i="49" s="1"/>
  <c r="M21" i="49"/>
  <c r="M58" i="49" s="1"/>
  <c r="M21" i="50"/>
  <c r="L36" i="49" l="1"/>
  <c r="L45" i="50"/>
  <c r="L42" i="50"/>
  <c r="L49" i="49"/>
  <c r="L55" i="50"/>
  <c r="M16" i="49"/>
  <c r="L43" i="50" l="1"/>
  <c r="L50" i="49"/>
  <c r="L40" i="49"/>
  <c r="L37" i="49"/>
  <c r="L38" i="49" l="1"/>
  <c r="L44" i="50"/>
  <c r="M18" i="50" l="1"/>
  <c r="L56" i="49"/>
  <c r="L39" i="49"/>
  <c r="M48" i="50" l="1"/>
  <c r="M16" i="50"/>
  <c r="M13" i="49"/>
  <c r="M11" i="49" s="1"/>
  <c r="M43" i="49" l="1"/>
  <c r="M29" i="50"/>
  <c r="M24" i="49" l="1"/>
  <c r="M17" i="49" s="1"/>
  <c r="M22" i="50"/>
  <c r="M49" i="50"/>
  <c r="M25" i="49" l="1"/>
  <c r="M29" i="49" s="1"/>
  <c r="M44" i="49"/>
  <c r="M45" i="49" s="1"/>
  <c r="M46" i="49" s="1"/>
  <c r="M50" i="50"/>
  <c r="M30" i="50"/>
  <c r="M34" i="50" s="1"/>
  <c r="M36" i="50" l="1"/>
  <c r="M51" i="50"/>
  <c r="M31" i="49" l="1"/>
  <c r="M35" i="49" s="1"/>
  <c r="M37" i="50"/>
  <c r="M52" i="50"/>
  <c r="M40" i="50"/>
  <c r="N39" i="50" l="1"/>
  <c r="N25" i="50" s="1"/>
  <c r="M32" i="49"/>
  <c r="M38" i="50"/>
  <c r="M33" i="49" s="1"/>
  <c r="N26" i="50"/>
  <c r="M53" i="50"/>
  <c r="M47" i="49"/>
  <c r="N21" i="49" l="1"/>
  <c r="N58" i="49" s="1"/>
  <c r="N21" i="50"/>
  <c r="N27" i="50" s="1"/>
  <c r="N22" i="49" s="1"/>
  <c r="N59" i="49" s="1"/>
  <c r="N20" i="49"/>
  <c r="M41" i="50"/>
  <c r="M48" i="49"/>
  <c r="M54" i="50"/>
  <c r="M36" i="49" l="1"/>
  <c r="M45" i="50"/>
  <c r="M42" i="50"/>
  <c r="N16" i="49"/>
  <c r="M49" i="49"/>
  <c r="M55" i="50"/>
  <c r="M43" i="50" l="1"/>
  <c r="M44" i="50" s="1"/>
  <c r="M50" i="49"/>
  <c r="M40" i="49"/>
  <c r="M37" i="49"/>
  <c r="N18" i="50" l="1"/>
  <c r="M38" i="49"/>
  <c r="N16" i="50" l="1"/>
  <c r="N48" i="50"/>
  <c r="N13" i="49"/>
  <c r="N11" i="49" s="1"/>
  <c r="M56" i="49"/>
  <c r="M39" i="49"/>
  <c r="N43" i="49" l="1"/>
  <c r="N29" i="50"/>
  <c r="N24" i="49" l="1"/>
  <c r="N17" i="49" s="1"/>
  <c r="N49" i="50"/>
  <c r="N22" i="50"/>
  <c r="N30" i="50" l="1"/>
  <c r="N34" i="50" s="1"/>
  <c r="N44" i="49"/>
  <c r="N45" i="49" s="1"/>
  <c r="N46" i="49" s="1"/>
  <c r="N50" i="50"/>
  <c r="N25" i="49"/>
  <c r="N29" i="49" s="1"/>
  <c r="N51" i="50" l="1"/>
  <c r="N36" i="50"/>
  <c r="N40" i="50" s="1"/>
  <c r="N52" i="50" l="1"/>
  <c r="N31" i="49"/>
  <c r="N35" i="49" s="1"/>
  <c r="N37" i="50"/>
  <c r="O39" i="50" l="1"/>
  <c r="O25" i="50" s="1"/>
  <c r="N32" i="49"/>
  <c r="N38" i="50"/>
  <c r="N33" i="49" s="1"/>
  <c r="O26" i="50"/>
  <c r="N53" i="50"/>
  <c r="N47" i="49"/>
  <c r="O20" i="49" l="1"/>
  <c r="O21" i="49"/>
  <c r="O58" i="49" s="1"/>
  <c r="O27" i="50"/>
  <c r="O22" i="49" s="1"/>
  <c r="O59" i="49" s="1"/>
  <c r="O21" i="50"/>
  <c r="N41" i="50"/>
  <c r="N48" i="49"/>
  <c r="N54" i="50"/>
  <c r="N36" i="49" l="1"/>
  <c r="N45" i="50"/>
  <c r="N42" i="50"/>
  <c r="O16" i="49"/>
  <c r="N49" i="49"/>
  <c r="N55" i="50"/>
  <c r="N50" i="49" l="1"/>
  <c r="N40" i="49"/>
  <c r="N37" i="49"/>
  <c r="N43" i="50"/>
  <c r="N44" i="50" s="1"/>
  <c r="O18" i="50" l="1"/>
  <c r="N38" i="49"/>
  <c r="N39" i="49" s="1"/>
  <c r="N56" i="49" l="1"/>
  <c r="O16" i="50"/>
  <c r="O48" i="50"/>
  <c r="O13" i="49"/>
  <c r="O11" i="49" s="1"/>
  <c r="O29" i="50" l="1"/>
  <c r="O43" i="49"/>
  <c r="O24" i="49" l="1"/>
  <c r="O49" i="50"/>
  <c r="O22" i="50"/>
  <c r="O44" i="49" l="1"/>
  <c r="O45" i="49" s="1"/>
  <c r="O46" i="49" s="1"/>
  <c r="O50" i="50"/>
  <c r="O30" i="50"/>
  <c r="O34" i="50" s="1"/>
  <c r="O17" i="49"/>
  <c r="O36" i="50" l="1"/>
  <c r="O40" i="50" s="1"/>
  <c r="O25" i="49"/>
  <c r="O29" i="49" s="1"/>
  <c r="O51" i="50"/>
  <c r="O52" i="50" l="1"/>
  <c r="O31" i="49"/>
  <c r="O35" i="49" s="1"/>
  <c r="O37" i="50"/>
  <c r="P39" i="50" l="1"/>
  <c r="P25" i="50" s="1"/>
  <c r="O38" i="50"/>
  <c r="O33" i="49" s="1"/>
  <c r="O32" i="49"/>
  <c r="P26" i="50"/>
  <c r="O53" i="50"/>
  <c r="O47" i="49"/>
  <c r="P20" i="49" l="1"/>
  <c r="O41" i="50"/>
  <c r="O48" i="49"/>
  <c r="O54" i="50"/>
  <c r="P27" i="50"/>
  <c r="P22" i="49" s="1"/>
  <c r="P59" i="49" s="1"/>
  <c r="P21" i="49"/>
  <c r="P58" i="49" s="1"/>
  <c r="P21" i="50"/>
  <c r="P16" i="49" l="1"/>
  <c r="O36" i="49"/>
  <c r="O45" i="50"/>
  <c r="O42" i="50"/>
  <c r="O49" i="49"/>
  <c r="O55" i="50"/>
  <c r="O40" i="49" l="1"/>
  <c r="O37" i="49"/>
  <c r="O50" i="49"/>
  <c r="O43" i="50"/>
  <c r="O44" i="50" s="1"/>
  <c r="P18" i="50" l="1"/>
  <c r="O38" i="49"/>
  <c r="O56" i="49" l="1"/>
  <c r="O39" i="49"/>
  <c r="P16" i="50"/>
  <c r="P29" i="50" s="1"/>
  <c r="P48" i="50"/>
  <c r="P13" i="49"/>
  <c r="P11" i="49" s="1"/>
  <c r="P24" i="49" l="1"/>
  <c r="B29" i="50"/>
  <c r="P22" i="50"/>
  <c r="P30" i="50" s="1"/>
  <c r="P34" i="50" s="1"/>
  <c r="P49" i="50"/>
  <c r="P44" i="49" s="1"/>
  <c r="P43" i="49"/>
  <c r="P50" i="50" l="1"/>
  <c r="P51" i="50" s="1"/>
  <c r="P45" i="49"/>
  <c r="P46" i="49" s="1"/>
  <c r="B24" i="49"/>
  <c r="P17" i="49"/>
  <c r="P25" i="49" s="1"/>
  <c r="P29" i="49" s="1"/>
  <c r="P36" i="50"/>
  <c r="P40" i="50" s="1"/>
  <c r="P52" i="50" l="1"/>
  <c r="P31" i="49"/>
  <c r="P35" i="49" s="1"/>
  <c r="P37" i="50"/>
  <c r="Q39" i="50" l="1"/>
  <c r="Q25" i="50" s="1"/>
  <c r="P32" i="49"/>
  <c r="P38" i="50"/>
  <c r="P33" i="49" s="1"/>
  <c r="Q26" i="50"/>
  <c r="P53" i="50"/>
  <c r="P47" i="49"/>
  <c r="Q20" i="49" l="1"/>
  <c r="P41" i="50"/>
  <c r="P48" i="49"/>
  <c r="P54" i="50"/>
  <c r="Q27" i="50"/>
  <c r="Q22" i="49" s="1"/>
  <c r="Q59" i="49" s="1"/>
  <c r="Q21" i="49"/>
  <c r="Q58" i="49" s="1"/>
  <c r="Q21" i="50"/>
  <c r="Q17" i="49" l="1"/>
  <c r="P49" i="49"/>
  <c r="P55" i="50"/>
  <c r="P36" i="49"/>
  <c r="P45" i="50"/>
  <c r="P42" i="50"/>
  <c r="Q22" i="50"/>
  <c r="Q16" i="49"/>
  <c r="Q49" i="50"/>
  <c r="Q44" i="49" s="1"/>
  <c r="P50" i="49" l="1"/>
  <c r="P43" i="50"/>
  <c r="P40" i="49"/>
  <c r="P37" i="49"/>
  <c r="P38" i="49" l="1"/>
  <c r="P44" i="50"/>
  <c r="P56" i="49" l="1"/>
  <c r="Q18" i="50"/>
  <c r="P39" i="49"/>
  <c r="Q16" i="50" l="1"/>
  <c r="Q48" i="50"/>
  <c r="Q13" i="49"/>
  <c r="Q11" i="49" s="1"/>
  <c r="Q25" i="49" s="1"/>
  <c r="Q29" i="49" s="1"/>
  <c r="Q50" i="50" l="1"/>
  <c r="Q43" i="49"/>
  <c r="Q45" i="49" s="1"/>
  <c r="Q46" i="49" s="1"/>
  <c r="Q30" i="50"/>
  <c r="Q34" i="50" s="1"/>
  <c r="Q51" i="50" l="1"/>
  <c r="Q36" i="50"/>
  <c r="Q40" i="50" s="1"/>
  <c r="Q31" i="49" l="1"/>
  <c r="Q35" i="49" s="1"/>
  <c r="Q37" i="50"/>
  <c r="Q52" i="50"/>
  <c r="Q53" i="50" l="1"/>
  <c r="Q47" i="49"/>
  <c r="R39" i="50"/>
  <c r="R25" i="50" s="1"/>
  <c r="Q32" i="49"/>
  <c r="Q38" i="50"/>
  <c r="Q33" i="49" s="1"/>
  <c r="R26" i="50"/>
  <c r="R20" i="49" l="1"/>
  <c r="R27" i="50"/>
  <c r="R22" i="49" s="1"/>
  <c r="R59" i="49" s="1"/>
  <c r="R21" i="49"/>
  <c r="R58" i="49" s="1"/>
  <c r="R21" i="50"/>
  <c r="Q41" i="50"/>
  <c r="Q48" i="49"/>
  <c r="Q54" i="50"/>
  <c r="R17" i="49" l="1"/>
  <c r="R16" i="49"/>
  <c r="R22" i="50"/>
  <c r="Q49" i="49"/>
  <c r="Q55" i="50"/>
  <c r="Q36" i="49"/>
  <c r="Q45" i="50"/>
  <c r="Q42" i="50"/>
  <c r="R49" i="50"/>
  <c r="R44" i="49" s="1"/>
  <c r="Q40" i="49" l="1"/>
  <c r="Q37" i="49"/>
  <c r="Q50" i="49"/>
  <c r="Q43" i="50"/>
  <c r="Q38" i="49" s="1"/>
  <c r="Q56" i="49" s="1"/>
  <c r="Q39" i="49" l="1"/>
  <c r="Q44" i="50"/>
  <c r="R18" i="50" l="1"/>
  <c r="R16" i="50" l="1"/>
  <c r="R48" i="50"/>
  <c r="R13" i="49"/>
  <c r="R11" i="49" s="1"/>
  <c r="R25" i="49" l="1"/>
  <c r="R29" i="49" s="1"/>
  <c r="R50" i="50"/>
  <c r="R43" i="49"/>
  <c r="R45" i="49" s="1"/>
  <c r="R46" i="49" s="1"/>
  <c r="R30" i="50"/>
  <c r="R34" i="50" s="1"/>
  <c r="R36" i="50" l="1"/>
  <c r="R40" i="50" s="1"/>
  <c r="R51" i="50"/>
  <c r="R52" i="50" l="1"/>
  <c r="R31" i="49"/>
  <c r="R35" i="49" s="1"/>
  <c r="R37" i="50"/>
  <c r="R53" i="50" l="1"/>
  <c r="R47" i="49"/>
  <c r="S39" i="50"/>
  <c r="S25" i="50" s="1"/>
  <c r="R38" i="50"/>
  <c r="R33" i="49" s="1"/>
  <c r="R32" i="49"/>
  <c r="S26" i="50"/>
  <c r="S20" i="49" l="1"/>
  <c r="S27" i="50"/>
  <c r="S22" i="49" s="1"/>
  <c r="S59" i="49" s="1"/>
  <c r="S79" i="49" s="1"/>
  <c r="S21" i="49"/>
  <c r="S58" i="49" s="1"/>
  <c r="S21" i="50"/>
  <c r="R41" i="50"/>
  <c r="R48" i="49"/>
  <c r="R54" i="50"/>
  <c r="S17" i="49" l="1"/>
  <c r="R49" i="49"/>
  <c r="R55" i="50"/>
  <c r="S16" i="49"/>
  <c r="S22" i="50"/>
  <c r="R36" i="49"/>
  <c r="R45" i="50"/>
  <c r="R42" i="50"/>
  <c r="S49" i="50"/>
  <c r="S44" i="49" s="1"/>
  <c r="R43" i="50" l="1"/>
  <c r="R38" i="49" s="1"/>
  <c r="R56" i="49" s="1"/>
  <c r="R40" i="49"/>
  <c r="R37" i="49"/>
  <c r="R50" i="49"/>
  <c r="R39" i="49" l="1"/>
  <c r="R44" i="50"/>
  <c r="S18" i="50" l="1"/>
  <c r="S16" i="50" l="1"/>
  <c r="S48" i="50"/>
  <c r="S13" i="49"/>
  <c r="S11" i="49" s="1"/>
  <c r="S50" i="50" l="1"/>
  <c r="S43" i="49"/>
  <c r="S45" i="49" s="1"/>
  <c r="S46" i="49" s="1"/>
  <c r="S30" i="50"/>
  <c r="S34" i="50" s="1"/>
  <c r="S25" i="49"/>
  <c r="S29" i="49" s="1"/>
  <c r="S36" i="50" l="1"/>
  <c r="S40" i="50" s="1"/>
  <c r="S51" i="50"/>
  <c r="S52" i="50" l="1"/>
  <c r="S31" i="49"/>
  <c r="S35" i="49" s="1"/>
  <c r="S37" i="50"/>
  <c r="T39" i="50" l="1"/>
  <c r="T25" i="50" s="1"/>
  <c r="S38" i="50"/>
  <c r="S33" i="49" s="1"/>
  <c r="S32" i="49"/>
  <c r="T26" i="50"/>
  <c r="S53" i="50"/>
  <c r="S47" i="49"/>
  <c r="T20" i="49" l="1"/>
  <c r="T27" i="50"/>
  <c r="T22" i="49" s="1"/>
  <c r="T59" i="49" s="1"/>
  <c r="T79" i="49" s="1"/>
  <c r="T21" i="49"/>
  <c r="T58" i="49" s="1"/>
  <c r="T21" i="50"/>
  <c r="S41" i="50"/>
  <c r="S48" i="49"/>
  <c r="S54" i="50"/>
  <c r="T17" i="49" l="1"/>
  <c r="S36" i="49"/>
  <c r="S45" i="50"/>
  <c r="S42" i="50"/>
  <c r="T16" i="49"/>
  <c r="T22" i="50"/>
  <c r="S49" i="49"/>
  <c r="S55" i="50"/>
  <c r="T49" i="50"/>
  <c r="T44" i="49" s="1"/>
  <c r="S43" i="50" l="1"/>
  <c r="S38" i="49" s="1"/>
  <c r="S56" i="49" s="1"/>
  <c r="S55" i="49" s="1"/>
  <c r="S40" i="49"/>
  <c r="S37" i="49"/>
  <c r="S50" i="49"/>
  <c r="S39" i="49" l="1"/>
  <c r="S76" i="49"/>
  <c r="S44" i="50"/>
  <c r="T18" i="50" l="1"/>
  <c r="T16" i="50" l="1"/>
  <c r="T48" i="50"/>
  <c r="T13" i="49"/>
  <c r="T11" i="49" s="1"/>
  <c r="T50" i="50" l="1"/>
  <c r="T43" i="49"/>
  <c r="T45" i="49" s="1"/>
  <c r="T46" i="49" s="1"/>
  <c r="T30" i="50"/>
  <c r="T34" i="50" s="1"/>
  <c r="T25" i="49"/>
  <c r="T29" i="49" s="1"/>
  <c r="T36" i="50" l="1"/>
  <c r="T40" i="50" s="1"/>
  <c r="T51" i="50"/>
  <c r="T52" i="50" l="1"/>
  <c r="T31" i="49"/>
  <c r="T35" i="49" s="1"/>
  <c r="T37" i="50"/>
  <c r="U39" i="50" l="1"/>
  <c r="U25" i="50" s="1"/>
  <c r="T38" i="50"/>
  <c r="T33" i="49" s="1"/>
  <c r="T32" i="49"/>
  <c r="U26" i="50"/>
  <c r="T53" i="50"/>
  <c r="T47" i="49"/>
  <c r="U20" i="49" l="1"/>
  <c r="T41" i="50"/>
  <c r="T48" i="49"/>
  <c r="T54" i="50"/>
  <c r="U27" i="50"/>
  <c r="U22" i="49" s="1"/>
  <c r="U59" i="49" s="1"/>
  <c r="U79" i="49" s="1"/>
  <c r="U21" i="49"/>
  <c r="U58" i="49" s="1"/>
  <c r="U21" i="50"/>
  <c r="T36" i="49" l="1"/>
  <c r="T45" i="50"/>
  <c r="T42" i="50"/>
  <c r="U17" i="49"/>
  <c r="T49" i="49"/>
  <c r="T55" i="50"/>
  <c r="U49" i="50"/>
  <c r="U44" i="49" s="1"/>
  <c r="U16" i="49"/>
  <c r="U22" i="50"/>
  <c r="T50" i="49" l="1"/>
  <c r="T43" i="50"/>
  <c r="T38" i="49" s="1"/>
  <c r="T56" i="49" s="1"/>
  <c r="T55" i="49" s="1"/>
  <c r="T40" i="49"/>
  <c r="T37" i="49"/>
  <c r="T76" i="49" l="1"/>
  <c r="T44" i="50"/>
  <c r="T39" i="49"/>
  <c r="U18" i="50" l="1"/>
  <c r="U16" i="50" l="1"/>
  <c r="U48" i="50"/>
  <c r="U13" i="49"/>
  <c r="U11" i="49" s="1"/>
  <c r="U50" i="50" l="1"/>
  <c r="U43" i="49"/>
  <c r="U45" i="49" s="1"/>
  <c r="U46" i="49" s="1"/>
  <c r="U30" i="50"/>
  <c r="U34" i="50" s="1"/>
  <c r="U25" i="49"/>
  <c r="U29" i="49" s="1"/>
  <c r="U36" i="50" l="1"/>
  <c r="U40" i="50" s="1"/>
  <c r="U51" i="50"/>
  <c r="U52" i="50" l="1"/>
  <c r="U31" i="49"/>
  <c r="U35" i="49" s="1"/>
  <c r="U37" i="50"/>
  <c r="U38" i="50" l="1"/>
  <c r="U33" i="49" s="1"/>
  <c r="U32" i="49"/>
  <c r="V39" i="50"/>
  <c r="V25" i="50" s="1"/>
  <c r="V26" i="50"/>
  <c r="U53" i="50"/>
  <c r="U47" i="49"/>
  <c r="V20" i="49" l="1"/>
  <c r="U41" i="50"/>
  <c r="U48" i="49"/>
  <c r="U54" i="50"/>
  <c r="V21" i="49"/>
  <c r="V58" i="49" s="1"/>
  <c r="V27" i="50"/>
  <c r="V22" i="49" s="1"/>
  <c r="V59" i="49" s="1"/>
  <c r="V79" i="49" s="1"/>
  <c r="V21" i="50"/>
  <c r="V17" i="49" l="1"/>
  <c r="U36" i="49"/>
  <c r="U45" i="50"/>
  <c r="U42" i="50"/>
  <c r="U49" i="49"/>
  <c r="U55" i="50"/>
  <c r="V49" i="50"/>
  <c r="V44" i="49" s="1"/>
  <c r="V16" i="49"/>
  <c r="V22" i="50"/>
  <c r="U43" i="50" l="1"/>
  <c r="U38" i="49" s="1"/>
  <c r="U56" i="49" s="1"/>
  <c r="U55" i="49" s="1"/>
  <c r="U50" i="49"/>
  <c r="U40" i="49"/>
  <c r="U37" i="49"/>
  <c r="U39" i="49" l="1"/>
  <c r="U44" i="50"/>
  <c r="U76" i="49"/>
  <c r="V18" i="50" l="1"/>
  <c r="V16" i="50" l="1"/>
  <c r="V48" i="50"/>
  <c r="V13" i="49"/>
  <c r="V11" i="49" s="1"/>
  <c r="V30" i="50" l="1"/>
  <c r="V34" i="50" s="1"/>
  <c r="V43" i="49"/>
  <c r="V45" i="49" s="1"/>
  <c r="V46" i="49" s="1"/>
  <c r="V50" i="50"/>
  <c r="V25" i="49"/>
  <c r="V29" i="49" s="1"/>
  <c r="V36" i="50" l="1"/>
  <c r="V51" i="50"/>
  <c r="V52" i="50" l="1"/>
  <c r="V31" i="49"/>
  <c r="V35" i="49" s="1"/>
  <c r="V37" i="50"/>
  <c r="V40" i="50"/>
  <c r="V38" i="50" l="1"/>
  <c r="V32" i="49"/>
  <c r="W26" i="50"/>
  <c r="V53" i="50"/>
  <c r="V47" i="49"/>
  <c r="W27" i="50" l="1"/>
  <c r="W22" i="49" s="1"/>
  <c r="W59" i="49" s="1"/>
  <c r="W79" i="49" s="1"/>
  <c r="W21" i="49"/>
  <c r="W58" i="49" s="1"/>
  <c r="W21" i="50"/>
  <c r="W25" i="50"/>
  <c r="V33" i="49"/>
  <c r="V48" i="49"/>
  <c r="V41" i="50"/>
  <c r="V54" i="50"/>
  <c r="V49" i="49" l="1"/>
  <c r="V55" i="50"/>
  <c r="W49" i="50"/>
  <c r="W44" i="49" s="1"/>
  <c r="W22" i="50"/>
  <c r="W20" i="49"/>
  <c r="W17" i="49" s="1"/>
  <c r="V36" i="49"/>
  <c r="V45" i="50"/>
  <c r="V42" i="50"/>
  <c r="W16" i="49"/>
  <c r="V50" i="49" l="1"/>
  <c r="V43" i="50"/>
  <c r="V38" i="49" s="1"/>
  <c r="V56" i="49" s="1"/>
  <c r="V55" i="49" s="1"/>
  <c r="V40" i="49"/>
  <c r="V37" i="49"/>
  <c r="V44" i="50" l="1"/>
  <c r="W18" i="50" s="1"/>
  <c r="V76" i="49"/>
  <c r="V39" i="49"/>
  <c r="W16" i="50" l="1"/>
  <c r="W48" i="50"/>
  <c r="W13" i="49"/>
  <c r="W11" i="49" s="1"/>
  <c r="W30" i="50" l="1"/>
  <c r="W34" i="50" s="1"/>
  <c r="W50" i="50"/>
  <c r="W43" i="49"/>
  <c r="W45" i="49" s="1"/>
  <c r="W46" i="49" s="1"/>
  <c r="W25" i="49"/>
  <c r="W29" i="49" s="1"/>
  <c r="W36" i="50" l="1"/>
  <c r="W40" i="50" s="1"/>
  <c r="W51" i="50"/>
  <c r="W52" i="50" l="1"/>
  <c r="W31" i="49"/>
  <c r="W35" i="49" s="1"/>
  <c r="W37" i="50"/>
  <c r="W38" i="50" l="1"/>
  <c r="W32" i="49"/>
  <c r="X26" i="50"/>
  <c r="W53" i="50"/>
  <c r="W47" i="49"/>
  <c r="X27" i="50" l="1"/>
  <c r="X22" i="49" s="1"/>
  <c r="X59" i="49" s="1"/>
  <c r="X79" i="49" s="1"/>
  <c r="X21" i="49"/>
  <c r="X58" i="49" s="1"/>
  <c r="X21" i="50"/>
  <c r="W41" i="50"/>
  <c r="W48" i="49"/>
  <c r="W54" i="50"/>
  <c r="X25" i="50"/>
  <c r="W33" i="49"/>
  <c r="X16" i="49" l="1"/>
  <c r="W49" i="49"/>
  <c r="W55" i="50"/>
  <c r="W36" i="49"/>
  <c r="W45" i="50"/>
  <c r="W42" i="50"/>
  <c r="X49" i="50"/>
  <c r="X44" i="49" s="1"/>
  <c r="X22" i="50"/>
  <c r="X20" i="49"/>
  <c r="X17" i="49" s="1"/>
  <c r="W50" i="49" l="1"/>
  <c r="W43" i="50"/>
  <c r="W38" i="49" s="1"/>
  <c r="W56" i="49" s="1"/>
  <c r="W55" i="49" s="1"/>
  <c r="W40" i="49"/>
  <c r="W37" i="49"/>
  <c r="W44" i="50" l="1"/>
  <c r="X18" i="50" s="1"/>
  <c r="W39" i="49"/>
  <c r="W76" i="49"/>
  <c r="X48" i="50" l="1"/>
  <c r="X13" i="49"/>
  <c r="X11" i="49" s="1"/>
  <c r="X16" i="50"/>
  <c r="X30" i="50" l="1"/>
  <c r="X34" i="50" s="1"/>
  <c r="X50" i="50"/>
  <c r="X43" i="49"/>
  <c r="X45" i="49" s="1"/>
  <c r="X46" i="49" s="1"/>
  <c r="X25" i="49"/>
  <c r="X29" i="49" s="1"/>
  <c r="X51" i="50" l="1"/>
  <c r="X36" i="50"/>
  <c r="X31" i="49" l="1"/>
  <c r="X35" i="49" s="1"/>
  <c r="X37" i="50"/>
  <c r="X52" i="50"/>
  <c r="X40" i="50"/>
  <c r="X38" i="50" l="1"/>
  <c r="X32" i="49"/>
  <c r="Y26" i="50"/>
  <c r="X53" i="50"/>
  <c r="X47" i="49"/>
  <c r="Y27" i="50" l="1"/>
  <c r="Y22" i="49" s="1"/>
  <c r="Y59" i="49" s="1"/>
  <c r="Y79" i="49" s="1"/>
  <c r="Y21" i="49"/>
  <c r="Y58" i="49" s="1"/>
  <c r="Y21" i="50"/>
  <c r="X41" i="50"/>
  <c r="X48" i="49"/>
  <c r="X54" i="50"/>
  <c r="Y25" i="50"/>
  <c r="X33" i="49"/>
  <c r="Y16" i="49" l="1"/>
  <c r="Y22" i="50"/>
  <c r="Y49" i="50"/>
  <c r="Y44" i="49" s="1"/>
  <c r="Y20" i="49"/>
  <c r="Y17" i="49" s="1"/>
  <c r="X49" i="49"/>
  <c r="X55" i="50"/>
  <c r="X36" i="49"/>
  <c r="X45" i="50"/>
  <c r="X42" i="50"/>
  <c r="X43" i="50" l="1"/>
  <c r="X38" i="49" s="1"/>
  <c r="X56" i="49" s="1"/>
  <c r="X55" i="49" s="1"/>
  <c r="X40" i="49"/>
  <c r="X37" i="49"/>
  <c r="X50" i="49"/>
  <c r="X39" i="49" l="1"/>
  <c r="X76" i="49"/>
  <c r="X44" i="50"/>
  <c r="Y18" i="50" l="1"/>
  <c r="Y16" i="50" l="1"/>
  <c r="Y48" i="50"/>
  <c r="Y13" i="49"/>
  <c r="Y11" i="49" s="1"/>
  <c r="Y25" i="49" l="1"/>
  <c r="Y29" i="49" s="1"/>
  <c r="Y30" i="50"/>
  <c r="Y34" i="50" s="1"/>
  <c r="Y50" i="50"/>
  <c r="Y43" i="49"/>
  <c r="Y45" i="49" s="1"/>
  <c r="Y46" i="49" s="1"/>
  <c r="Y36" i="50" l="1"/>
  <c r="Y51" i="50"/>
  <c r="Y52" i="50" l="1"/>
  <c r="Y31" i="49"/>
  <c r="Y35" i="49" s="1"/>
  <c r="Y37" i="50"/>
  <c r="Y40" i="50"/>
  <c r="Y53" i="50" l="1"/>
  <c r="Y47" i="49"/>
  <c r="Y38" i="50"/>
  <c r="Y32" i="49"/>
  <c r="Z26" i="50"/>
  <c r="Z21" i="49" l="1"/>
  <c r="Z27" i="50"/>
  <c r="B26" i="50"/>
  <c r="Z21" i="50"/>
  <c r="Z16" i="49" s="1"/>
  <c r="Y41" i="50"/>
  <c r="Y48" i="49"/>
  <c r="Y54" i="50"/>
  <c r="Z25" i="50"/>
  <c r="Y33" i="49"/>
  <c r="Y49" i="49" l="1"/>
  <c r="Y55" i="50"/>
  <c r="Z22" i="49"/>
  <c r="B27" i="50"/>
  <c r="Z22" i="50"/>
  <c r="B22" i="50" s="1"/>
  <c r="Z49" i="50"/>
  <c r="Z20" i="49"/>
  <c r="B25" i="50"/>
  <c r="Y36" i="49"/>
  <c r="Y45" i="50"/>
  <c r="Y42" i="50"/>
  <c r="Z58" i="49"/>
  <c r="B58" i="49" s="1"/>
  <c r="B21" i="49"/>
  <c r="Y43" i="50" l="1"/>
  <c r="Y38" i="49" s="1"/>
  <c r="Y56" i="49" s="1"/>
  <c r="Y55" i="49" s="1"/>
  <c r="Z17" i="49"/>
  <c r="B17" i="49" s="1"/>
  <c r="B20" i="49"/>
  <c r="Z59" i="49"/>
  <c r="B22" i="49"/>
  <c r="Y40" i="49"/>
  <c r="Y37" i="49"/>
  <c r="Z44" i="49"/>
  <c r="B44" i="49" s="1"/>
  <c r="B49" i="50"/>
  <c r="C33" i="48" s="1"/>
  <c r="B33" i="48" s="1"/>
  <c r="Y50" i="49"/>
  <c r="Z79" i="49" l="1"/>
  <c r="B59" i="49"/>
  <c r="Y39" i="49"/>
  <c r="Y44" i="50"/>
  <c r="Y76" i="49"/>
  <c r="Z18" i="50" l="1"/>
  <c r="Z16" i="50" l="1"/>
  <c r="Z48" i="50"/>
  <c r="Z13" i="49"/>
  <c r="B18" i="50"/>
  <c r="B16" i="50" l="1"/>
  <c r="Z30" i="50"/>
  <c r="Z34" i="50" s="1"/>
  <c r="Z11" i="49"/>
  <c r="B13" i="49"/>
  <c r="Z43" i="49"/>
  <c r="Z50" i="50"/>
  <c r="B48" i="50"/>
  <c r="C32" i="48" s="1"/>
  <c r="B11" i="49" l="1"/>
  <c r="Z25" i="49"/>
  <c r="Z29" i="49" s="1"/>
  <c r="Z36" i="50"/>
  <c r="Z40" i="50" s="1"/>
  <c r="B32" i="48"/>
  <c r="B50" i="50"/>
  <c r="Z51" i="50"/>
  <c r="Z52" i="50" s="1"/>
  <c r="Z45" i="49"/>
  <c r="B43" i="49"/>
  <c r="Z53" i="50" l="1"/>
  <c r="Z47" i="49"/>
  <c r="B47" i="49" s="1"/>
  <c r="B52" i="50"/>
  <c r="B45" i="49"/>
  <c r="Z46" i="49"/>
  <c r="Z31" i="49"/>
  <c r="B31" i="49" s="1"/>
  <c r="B36" i="50"/>
  <c r="Z37" i="50"/>
  <c r="Z35" i="49" l="1"/>
  <c r="Z38" i="50"/>
  <c r="Z33" i="49" s="1"/>
  <c r="Z32" i="49"/>
  <c r="Z48" i="49"/>
  <c r="B48" i="49" s="1"/>
  <c r="B51" i="49" s="1"/>
  <c r="Z41" i="50"/>
  <c r="B53" i="50"/>
  <c r="Z54" i="50"/>
  <c r="C34" i="48" l="1"/>
  <c r="B56" i="50"/>
  <c r="Z36" i="49"/>
  <c r="B41" i="50"/>
  <c r="Z45" i="50"/>
  <c r="Z42" i="50"/>
  <c r="Z49" i="49"/>
  <c r="B49" i="49" s="1"/>
  <c r="B54" i="50"/>
  <c r="Z55" i="50"/>
  <c r="Z50" i="49" s="1"/>
  <c r="B45" i="50" l="1"/>
  <c r="B46" i="50"/>
  <c r="C37" i="48" s="1"/>
  <c r="B34" i="48"/>
  <c r="C35" i="48"/>
  <c r="B36" i="49"/>
  <c r="Z40" i="49"/>
  <c r="Z37" i="49"/>
  <c r="Z43" i="50"/>
  <c r="Z38" i="49" l="1"/>
  <c r="Z39" i="49" s="1"/>
  <c r="B43" i="50"/>
  <c r="B41" i="49"/>
  <c r="B37" i="48" s="1"/>
  <c r="B40" i="49"/>
  <c r="B35" i="48"/>
  <c r="B36" i="48" s="1"/>
  <c r="C36" i="48"/>
  <c r="Z44" i="50"/>
  <c r="Z56" i="49" l="1"/>
  <c r="B38" i="49"/>
  <c r="Z55" i="49" l="1"/>
  <c r="B56" i="49"/>
  <c r="Z76" i="49" l="1"/>
  <c r="M32" i="38"/>
  <c r="M27" i="47" s="1"/>
  <c r="D14" i="38"/>
  <c r="E14" i="38" s="1"/>
  <c r="F14" i="38" s="1"/>
  <c r="G14" i="38" s="1"/>
  <c r="H14" i="38" s="1"/>
  <c r="I14" i="38" s="1"/>
  <c r="J14" i="38" s="1"/>
  <c r="K14" i="38" s="1"/>
  <c r="L14" i="38" s="1"/>
  <c r="M14" i="38" s="1"/>
  <c r="N14" i="38" s="1"/>
  <c r="O14" i="38" s="1"/>
  <c r="P14" i="38" s="1"/>
  <c r="Q14" i="38" s="1"/>
  <c r="R14" i="38" s="1"/>
  <c r="S14" i="38" s="1"/>
  <c r="T14" i="38" l="1"/>
  <c r="U14" i="38" s="1"/>
  <c r="V14" i="38" s="1"/>
  <c r="S17" i="38"/>
  <c r="S24" i="38" s="1"/>
  <c r="D14" i="39"/>
  <c r="E14" i="39" s="1"/>
  <c r="F14" i="39" s="1"/>
  <c r="G14" i="39" s="1"/>
  <c r="H14" i="39" s="1"/>
  <c r="I14" i="39" s="1"/>
  <c r="J14" i="39" s="1"/>
  <c r="K14" i="39" s="1"/>
  <c r="L14" i="39" s="1"/>
  <c r="M14" i="39" s="1"/>
  <c r="N14" i="39" s="1"/>
  <c r="O14" i="39" s="1"/>
  <c r="P14" i="39" s="1"/>
  <c r="Q14" i="39" s="1"/>
  <c r="R14" i="39" s="1"/>
  <c r="S14" i="39" s="1"/>
  <c r="T14" i="39" s="1"/>
  <c r="U14" i="39" s="1"/>
  <c r="K17" i="37"/>
  <c r="V14" i="39" l="1"/>
  <c r="U17" i="39"/>
  <c r="U24" i="39" s="1"/>
  <c r="S17" i="39"/>
  <c r="S24" i="39" s="1"/>
  <c r="B17" i="37"/>
  <c r="B14" i="37" s="1"/>
  <c r="K24" i="37"/>
  <c r="K16" i="37"/>
  <c r="K48" i="37"/>
  <c r="D14" i="40"/>
  <c r="E14" i="40" s="1"/>
  <c r="F14" i="40" s="1"/>
  <c r="G14" i="40" s="1"/>
  <c r="H14" i="40" s="1"/>
  <c r="I14" i="40" s="1"/>
  <c r="J14" i="40" s="1"/>
  <c r="K14" i="40" s="1"/>
  <c r="L14" i="40" s="1"/>
  <c r="M14" i="40" s="1"/>
  <c r="N14" i="40" s="1"/>
  <c r="O14" i="40" s="1"/>
  <c r="P14" i="40" s="1"/>
  <c r="Q14" i="40" s="1"/>
  <c r="R14" i="40" s="1"/>
  <c r="S14" i="40" s="1"/>
  <c r="T14" i="40" s="1"/>
  <c r="U14" i="40" s="1"/>
  <c r="V14" i="40" s="1"/>
  <c r="I17" i="38"/>
  <c r="D9" i="47" l="1"/>
  <c r="E9" i="47"/>
  <c r="C9" i="47"/>
  <c r="V17" i="40"/>
  <c r="U17" i="40"/>
  <c r="T17" i="39"/>
  <c r="T24" i="39" s="1"/>
  <c r="I31" i="38"/>
  <c r="I48" i="38"/>
  <c r="I24" i="38"/>
  <c r="I12" i="47"/>
  <c r="K29" i="37"/>
  <c r="K22" i="37" s="1"/>
  <c r="M17" i="40"/>
  <c r="B24" i="37"/>
  <c r="Q1" i="37" s="1"/>
  <c r="K17" i="39"/>
  <c r="J17" i="38"/>
  <c r="F9" i="47" l="1"/>
  <c r="U24" i="40"/>
  <c r="U19" i="47" s="1"/>
  <c r="U12" i="47"/>
  <c r="V24" i="40"/>
  <c r="V19" i="47" s="1"/>
  <c r="V12" i="47"/>
  <c r="E60" i="49"/>
  <c r="L17" i="39"/>
  <c r="N17" i="40"/>
  <c r="I29" i="38"/>
  <c r="I22" i="38" s="1"/>
  <c r="M31" i="40"/>
  <c r="M24" i="40"/>
  <c r="M48" i="40"/>
  <c r="I19" i="47"/>
  <c r="J12" i="47"/>
  <c r="J31" i="38"/>
  <c r="J26" i="47" s="1"/>
  <c r="J24" i="38"/>
  <c r="K49" i="37"/>
  <c r="I43" i="47"/>
  <c r="K48" i="39"/>
  <c r="K24" i="39"/>
  <c r="K31" i="39"/>
  <c r="K30" i="37"/>
  <c r="K34" i="37" s="1"/>
  <c r="I26" i="47"/>
  <c r="I33" i="38"/>
  <c r="G9" i="47" l="1"/>
  <c r="I19" i="38"/>
  <c r="J33" i="38"/>
  <c r="J19" i="47"/>
  <c r="M33" i="40"/>
  <c r="L24" i="39"/>
  <c r="L31" i="39"/>
  <c r="K36" i="37"/>
  <c r="K40" i="37" s="1"/>
  <c r="N24" i="40"/>
  <c r="N31" i="40"/>
  <c r="K33" i="39"/>
  <c r="I28" i="47"/>
  <c r="J28" i="47" s="1"/>
  <c r="K29" i="39"/>
  <c r="K50" i="37"/>
  <c r="M29" i="40"/>
  <c r="M22" i="40" s="1"/>
  <c r="M19" i="40" s="1"/>
  <c r="I24" i="47"/>
  <c r="I17" i="47" s="1"/>
  <c r="I49" i="38"/>
  <c r="O17" i="40"/>
  <c r="E74" i="49"/>
  <c r="E75" i="49"/>
  <c r="E65" i="49"/>
  <c r="M17" i="39"/>
  <c r="L33" i="39" l="1"/>
  <c r="H9" i="47"/>
  <c r="M14" i="47"/>
  <c r="M61" i="47" s="1"/>
  <c r="M16" i="40"/>
  <c r="M30" i="40" s="1"/>
  <c r="M34" i="40" s="1"/>
  <c r="I14" i="47"/>
  <c r="I16" i="38"/>
  <c r="I30" i="38" s="1"/>
  <c r="I34" i="38" s="1"/>
  <c r="O31" i="40"/>
  <c r="O24" i="40"/>
  <c r="I44" i="47"/>
  <c r="I50" i="38"/>
  <c r="M49" i="40"/>
  <c r="N33" i="40"/>
  <c r="K51" i="37"/>
  <c r="K37" i="37"/>
  <c r="M31" i="39"/>
  <c r="M24" i="39"/>
  <c r="E67" i="49"/>
  <c r="E66" i="49"/>
  <c r="N17" i="39"/>
  <c r="P17" i="40"/>
  <c r="K49" i="39"/>
  <c r="K22" i="39"/>
  <c r="K19" i="39" s="1"/>
  <c r="I9" i="47" l="1"/>
  <c r="K14" i="47"/>
  <c r="K61" i="47" s="1"/>
  <c r="K16" i="39"/>
  <c r="K30" i="39" s="1"/>
  <c r="K34" i="39" s="1"/>
  <c r="I36" i="38"/>
  <c r="I31" i="47" s="1"/>
  <c r="I35" i="38"/>
  <c r="I61" i="47"/>
  <c r="I11" i="47"/>
  <c r="I25" i="47" s="1"/>
  <c r="I29" i="47" s="1"/>
  <c r="O33" i="40"/>
  <c r="E69" i="49"/>
  <c r="E71" i="49" s="1"/>
  <c r="E73" i="49" s="1"/>
  <c r="F57" i="49" s="1"/>
  <c r="P24" i="40"/>
  <c r="P31" i="40"/>
  <c r="L39" i="37"/>
  <c r="L25" i="37" s="1"/>
  <c r="K38" i="37"/>
  <c r="L26" i="37"/>
  <c r="M33" i="39"/>
  <c r="K52" i="37"/>
  <c r="M50" i="40"/>
  <c r="M36" i="40"/>
  <c r="M35" i="40"/>
  <c r="Q17" i="40"/>
  <c r="E68" i="49"/>
  <c r="I51" i="38"/>
  <c r="N24" i="39"/>
  <c r="N31" i="39"/>
  <c r="K50" i="39"/>
  <c r="O17" i="39"/>
  <c r="I45" i="47"/>
  <c r="J9" i="47" l="1"/>
  <c r="I60" i="47"/>
  <c r="I75" i="47" s="1"/>
  <c r="I37" i="38"/>
  <c r="I30" i="47"/>
  <c r="I35" i="47" s="1"/>
  <c r="I40" i="38"/>
  <c r="P33" i="40"/>
  <c r="M40" i="40"/>
  <c r="O24" i="39"/>
  <c r="O31" i="39"/>
  <c r="L27" i="37"/>
  <c r="L21" i="37"/>
  <c r="P17" i="39"/>
  <c r="P31" i="39" s="1"/>
  <c r="P26" i="47" s="1"/>
  <c r="I46" i="47"/>
  <c r="K51" i="39"/>
  <c r="R17" i="40"/>
  <c r="R31" i="40" s="1"/>
  <c r="R26" i="47" s="1"/>
  <c r="N33" i="39"/>
  <c r="F79" i="49"/>
  <c r="F55" i="49"/>
  <c r="K36" i="39"/>
  <c r="K35" i="39"/>
  <c r="Q24" i="40"/>
  <c r="Q31" i="40"/>
  <c r="K53" i="37"/>
  <c r="I52" i="38"/>
  <c r="F63" i="49"/>
  <c r="M37" i="40"/>
  <c r="M51" i="40"/>
  <c r="K17" i="38" l="1"/>
  <c r="K9" i="47"/>
  <c r="O33" i="39"/>
  <c r="I38" i="38"/>
  <c r="I33" i="47" s="1"/>
  <c r="I32" i="47"/>
  <c r="J39" i="38"/>
  <c r="J25" i="38" s="1"/>
  <c r="J20" i="47" s="1"/>
  <c r="J26" i="38"/>
  <c r="P24" i="39"/>
  <c r="K37" i="39"/>
  <c r="N32" i="38"/>
  <c r="K52" i="39"/>
  <c r="M38" i="40"/>
  <c r="N26" i="40"/>
  <c r="N39" i="40"/>
  <c r="N25" i="40" s="1"/>
  <c r="K41" i="37"/>
  <c r="K54" i="37"/>
  <c r="K40" i="39"/>
  <c r="S17" i="40"/>
  <c r="S31" i="40" s="1"/>
  <c r="S26" i="47" s="1"/>
  <c r="F80" i="49"/>
  <c r="F81" i="49" s="1"/>
  <c r="R24" i="40"/>
  <c r="I47" i="47"/>
  <c r="I53" i="38"/>
  <c r="M52" i="40"/>
  <c r="F76" i="49"/>
  <c r="P32" i="39"/>
  <c r="Q33" i="40"/>
  <c r="Q17" i="39"/>
  <c r="Q31" i="39" s="1"/>
  <c r="B31" i="39" s="1"/>
  <c r="P33" i="39" l="1"/>
  <c r="K31" i="38"/>
  <c r="K24" i="38"/>
  <c r="K19" i="47" s="1"/>
  <c r="K12" i="47"/>
  <c r="L9" i="47"/>
  <c r="L17" i="38"/>
  <c r="B31" i="40"/>
  <c r="Q26" i="47"/>
  <c r="J21" i="38"/>
  <c r="J27" i="38"/>
  <c r="J22" i="47" s="1"/>
  <c r="J59" i="47" s="1"/>
  <c r="J21" i="47"/>
  <c r="J58" i="47" s="1"/>
  <c r="F82" i="49"/>
  <c r="Q24" i="39"/>
  <c r="T17" i="40"/>
  <c r="K55" i="37"/>
  <c r="K38" i="39"/>
  <c r="L26" i="39"/>
  <c r="L39" i="39"/>
  <c r="L25" i="39" s="1"/>
  <c r="Q32" i="39"/>
  <c r="M53" i="40"/>
  <c r="K45" i="37"/>
  <c r="K42" i="37"/>
  <c r="K44" i="37" s="1"/>
  <c r="K53" i="39"/>
  <c r="I41" i="38"/>
  <c r="I48" i="47"/>
  <c r="I54" i="38"/>
  <c r="R17" i="39"/>
  <c r="R32" i="40"/>
  <c r="S12" i="47"/>
  <c r="S24" i="40"/>
  <c r="N27" i="40"/>
  <c r="N21" i="40"/>
  <c r="N27" i="47"/>
  <c r="L12" i="47" l="1"/>
  <c r="L31" i="38"/>
  <c r="L26" i="47" s="1"/>
  <c r="L24" i="38"/>
  <c r="L19" i="47" s="1"/>
  <c r="K33" i="38"/>
  <c r="K26" i="47"/>
  <c r="K28" i="47" s="1"/>
  <c r="M9" i="47"/>
  <c r="M17" i="38"/>
  <c r="J16" i="47"/>
  <c r="Q33" i="39"/>
  <c r="L18" i="37"/>
  <c r="I36" i="47"/>
  <c r="I45" i="38"/>
  <c r="I42" i="38"/>
  <c r="T12" i="47"/>
  <c r="T24" i="40"/>
  <c r="B24" i="40" s="1"/>
  <c r="Q1" i="40" s="1"/>
  <c r="B17" i="40"/>
  <c r="B14" i="40" s="1"/>
  <c r="F83" i="49"/>
  <c r="R24" i="39"/>
  <c r="B17" i="39"/>
  <c r="B14" i="39" s="1"/>
  <c r="S19" i="47"/>
  <c r="R32" i="39"/>
  <c r="R33" i="39" s="1"/>
  <c r="R33" i="40"/>
  <c r="I49" i="47"/>
  <c r="I55" i="38"/>
  <c r="K41" i="39"/>
  <c r="K54" i="39"/>
  <c r="M41" i="40"/>
  <c r="M54" i="40"/>
  <c r="L27" i="39"/>
  <c r="L21" i="39"/>
  <c r="L33" i="38" l="1"/>
  <c r="L28" i="47"/>
  <c r="N9" i="47"/>
  <c r="N17" i="38"/>
  <c r="M12" i="47"/>
  <c r="M24" i="38"/>
  <c r="M31" i="38"/>
  <c r="M26" i="47" s="1"/>
  <c r="S32" i="39"/>
  <c r="S33" i="39" s="1"/>
  <c r="B24" i="39"/>
  <c r="Q1" i="39" s="1"/>
  <c r="T19" i="47"/>
  <c r="I40" i="47"/>
  <c r="I37" i="47"/>
  <c r="M45" i="40"/>
  <c r="M42" i="40"/>
  <c r="M55" i="40"/>
  <c r="K45" i="39"/>
  <c r="K42" i="39"/>
  <c r="S32" i="40"/>
  <c r="I43" i="38"/>
  <c r="I44" i="38" s="1"/>
  <c r="I50" i="47"/>
  <c r="L16" i="37"/>
  <c r="L29" i="37" s="1"/>
  <c r="L48" i="37"/>
  <c r="K55" i="39"/>
  <c r="F84" i="49"/>
  <c r="M28" i="47" l="1"/>
  <c r="L49" i="37"/>
  <c r="L22" i="37"/>
  <c r="L30" i="37" s="1"/>
  <c r="L34" i="37" s="1"/>
  <c r="N31" i="38"/>
  <c r="N26" i="47" s="1"/>
  <c r="N12" i="47"/>
  <c r="N24" i="38"/>
  <c r="N19" i="47" s="1"/>
  <c r="M19" i="47"/>
  <c r="M33" i="38"/>
  <c r="O9" i="47"/>
  <c r="O17" i="38"/>
  <c r="T32" i="39"/>
  <c r="J18" i="38"/>
  <c r="S33" i="40"/>
  <c r="M43" i="40"/>
  <c r="M44" i="40" s="1"/>
  <c r="F70" i="49"/>
  <c r="F85" i="49"/>
  <c r="I38" i="47"/>
  <c r="K43" i="39"/>
  <c r="K44" i="39" s="1"/>
  <c r="L50" i="37"/>
  <c r="N28" i="47" l="1"/>
  <c r="P9" i="47"/>
  <c r="P17" i="38"/>
  <c r="N33" i="38"/>
  <c r="O32" i="38" s="1"/>
  <c r="O27" i="47" s="1"/>
  <c r="O31" i="38"/>
  <c r="O24" i="38"/>
  <c r="O12" i="47"/>
  <c r="T33" i="39"/>
  <c r="L18" i="39"/>
  <c r="I56" i="47"/>
  <c r="I39" i="47"/>
  <c r="L51" i="37"/>
  <c r="F86" i="49"/>
  <c r="T32" i="40"/>
  <c r="T33" i="40" s="1"/>
  <c r="J13" i="47"/>
  <c r="J48" i="38"/>
  <c r="N18" i="40"/>
  <c r="L36" i="37"/>
  <c r="L40" i="37" s="1"/>
  <c r="U32" i="39" l="1"/>
  <c r="B32" i="39" s="1"/>
  <c r="B31" i="38"/>
  <c r="O26" i="47"/>
  <c r="Q9" i="47"/>
  <c r="Q17" i="38"/>
  <c r="O33" i="38"/>
  <c r="P24" i="38"/>
  <c r="P19" i="47" s="1"/>
  <c r="P12" i="47"/>
  <c r="O19" i="47"/>
  <c r="U32" i="40"/>
  <c r="N48" i="40"/>
  <c r="J43" i="47"/>
  <c r="L37" i="37"/>
  <c r="T27" i="47"/>
  <c r="L52" i="37"/>
  <c r="I55" i="47"/>
  <c r="L48" i="39"/>
  <c r="U27" i="47" l="1"/>
  <c r="U33" i="39"/>
  <c r="V33" i="39" s="1"/>
  <c r="W33" i="39" s="1"/>
  <c r="X33" i="39" s="1"/>
  <c r="Y33" i="39" s="1"/>
  <c r="Z33" i="39" s="1"/>
  <c r="P32" i="38"/>
  <c r="P27" i="47" s="1"/>
  <c r="O28" i="47"/>
  <c r="B26" i="47"/>
  <c r="Q24" i="38"/>
  <c r="Q12" i="47"/>
  <c r="R9" i="47"/>
  <c r="R17" i="38"/>
  <c r="U33" i="40"/>
  <c r="M39" i="37"/>
  <c r="M25" i="37" s="1"/>
  <c r="L38" i="37"/>
  <c r="M26" i="37"/>
  <c r="I76" i="47"/>
  <c r="I74" i="47"/>
  <c r="I65" i="47"/>
  <c r="L53" i="37"/>
  <c r="P33" i="38" l="1"/>
  <c r="Q32" i="38" s="1"/>
  <c r="Q27" i="47" s="1"/>
  <c r="R24" i="38"/>
  <c r="R19" i="47" s="1"/>
  <c r="R12" i="47"/>
  <c r="B12" i="47" s="1"/>
  <c r="B9" i="47" s="1"/>
  <c r="B17" i="38"/>
  <c r="B14" i="38" s="1"/>
  <c r="B29" i="41"/>
  <c r="B30" i="41" s="1"/>
  <c r="B31" i="41" s="1"/>
  <c r="B32" i="41" s="1"/>
  <c r="B27" i="41"/>
  <c r="B28" i="41" s="1"/>
  <c r="P28" i="47"/>
  <c r="S9" i="47"/>
  <c r="Q19" i="47"/>
  <c r="V32" i="40"/>
  <c r="M27" i="37"/>
  <c r="M21" i="37"/>
  <c r="L41" i="37"/>
  <c r="L54" i="37"/>
  <c r="I67" i="47"/>
  <c r="I66" i="47"/>
  <c r="Q28" i="47" l="1"/>
  <c r="T9" i="47"/>
  <c r="B24" i="38"/>
  <c r="Q1" i="38" s="1"/>
  <c r="Q33" i="38"/>
  <c r="B19" i="47"/>
  <c r="V27" i="47"/>
  <c r="B32" i="40"/>
  <c r="V33" i="40"/>
  <c r="W33" i="40" s="1"/>
  <c r="X33" i="40" s="1"/>
  <c r="Y33" i="40" s="1"/>
  <c r="Z33" i="40" s="1"/>
  <c r="I69" i="47"/>
  <c r="I71" i="47" s="1"/>
  <c r="I73" i="47" s="1"/>
  <c r="J57" i="47" s="1"/>
  <c r="I68" i="47"/>
  <c r="L45" i="37"/>
  <c r="L42" i="37"/>
  <c r="L55" i="37"/>
  <c r="F64" i="49" l="1"/>
  <c r="B64" i="49" s="1"/>
  <c r="B41" i="48" s="1"/>
  <c r="R32" i="38"/>
  <c r="R33" i="38" s="1"/>
  <c r="V9" i="47"/>
  <c r="W9" i="47" s="1"/>
  <c r="U9" i="47"/>
  <c r="J63" i="47"/>
  <c r="L43" i="37"/>
  <c r="L44" i="37" s="1"/>
  <c r="J79" i="47"/>
  <c r="F60" i="49" l="1"/>
  <c r="F75" i="49" s="1"/>
  <c r="S32" i="38"/>
  <c r="S27" i="47" s="1"/>
  <c r="W14" i="39"/>
  <c r="W14" i="40"/>
  <c r="W14" i="38"/>
  <c r="W14" i="37"/>
  <c r="X9" i="47"/>
  <c r="R27" i="47"/>
  <c r="M18" i="37"/>
  <c r="J80" i="47"/>
  <c r="F74" i="49" l="1"/>
  <c r="F65" i="49"/>
  <c r="F67" i="49" s="1"/>
  <c r="B32" i="38"/>
  <c r="S33" i="38"/>
  <c r="T33" i="38" s="1"/>
  <c r="U33" i="38" s="1"/>
  <c r="V33" i="38" s="1"/>
  <c r="W33" i="38" s="1"/>
  <c r="X33" i="38" s="1"/>
  <c r="Y33" i="38" s="1"/>
  <c r="Z33" i="38" s="1"/>
  <c r="X14" i="37"/>
  <c r="X14" i="39"/>
  <c r="X14" i="40"/>
  <c r="X14" i="38"/>
  <c r="Y9" i="47"/>
  <c r="R28" i="47"/>
  <c r="S28" i="47" s="1"/>
  <c r="T28" i="47" s="1"/>
  <c r="U28" i="47" s="1"/>
  <c r="V28" i="47" s="1"/>
  <c r="B27" i="47"/>
  <c r="J81" i="47"/>
  <c r="M48" i="37"/>
  <c r="M16" i="37"/>
  <c r="M29" i="37" s="1"/>
  <c r="F66" i="49" l="1"/>
  <c r="F69" i="49" s="1"/>
  <c r="F71" i="49" s="1"/>
  <c r="F73" i="49" s="1"/>
  <c r="G57" i="49" s="1"/>
  <c r="G79" i="49" s="1"/>
  <c r="M22" i="37"/>
  <c r="M30" i="37" s="1"/>
  <c r="M34" i="37" s="1"/>
  <c r="M49" i="37"/>
  <c r="M50" i="37" s="1"/>
  <c r="Y14" i="38"/>
  <c r="Y14" i="39"/>
  <c r="Y14" i="40"/>
  <c r="Z9" i="47"/>
  <c r="Y14" i="37"/>
  <c r="J82" i="47"/>
  <c r="G55" i="49" l="1"/>
  <c r="G76" i="49" s="1"/>
  <c r="F68" i="49"/>
  <c r="G63" i="49" s="1"/>
  <c r="G80" i="49" s="1"/>
  <c r="G81" i="49" s="1"/>
  <c r="G82" i="49" s="1"/>
  <c r="G83" i="49" s="1"/>
  <c r="G84" i="49" s="1"/>
  <c r="G70" i="49" s="1"/>
  <c r="Z14" i="40"/>
  <c r="Z14" i="39"/>
  <c r="Z14" i="38"/>
  <c r="Z14" i="37"/>
  <c r="M51" i="37"/>
  <c r="J83" i="47"/>
  <c r="M36" i="37"/>
  <c r="G60" i="49" l="1"/>
  <c r="G65" i="49" s="1"/>
  <c r="G67" i="49" s="1"/>
  <c r="G85" i="49"/>
  <c r="G86" i="49" s="1"/>
  <c r="M37" i="37"/>
  <c r="M52" i="37"/>
  <c r="J84" i="47"/>
  <c r="M40" i="37"/>
  <c r="G74" i="49" l="1"/>
  <c r="G75" i="49"/>
  <c r="G66" i="49"/>
  <c r="G68" i="49" s="1"/>
  <c r="H63" i="49" s="1"/>
  <c r="M53" i="37"/>
  <c r="N39" i="37"/>
  <c r="N25" i="37" s="1"/>
  <c r="M38" i="37"/>
  <c r="N26" i="37"/>
  <c r="J70" i="47"/>
  <c r="J85" i="47"/>
  <c r="G69" i="49" l="1"/>
  <c r="G71" i="49" s="1"/>
  <c r="G73" i="49" s="1"/>
  <c r="H57" i="49" s="1"/>
  <c r="H79" i="49" s="1"/>
  <c r="H60" i="49"/>
  <c r="H80" i="49"/>
  <c r="M41" i="37"/>
  <c r="M54" i="37"/>
  <c r="N27" i="37"/>
  <c r="N21" i="37"/>
  <c r="J86" i="47"/>
  <c r="H81" i="49" l="1"/>
  <c r="H82" i="49" s="1"/>
  <c r="H55" i="49"/>
  <c r="H76" i="49" s="1"/>
  <c r="M45" i="37"/>
  <c r="M42" i="37"/>
  <c r="H83" i="49"/>
  <c r="M55" i="37"/>
  <c r="H65" i="49" l="1"/>
  <c r="H67" i="49" s="1"/>
  <c r="H84" i="49"/>
  <c r="M43" i="37"/>
  <c r="H66" i="49" l="1"/>
  <c r="H69" i="49" s="1"/>
  <c r="H70" i="49"/>
  <c r="H85" i="49"/>
  <c r="M44" i="37"/>
  <c r="H68" i="49" l="1"/>
  <c r="I63" i="49" s="1"/>
  <c r="I60" i="49" s="1"/>
  <c r="N18" i="37"/>
  <c r="H75" i="49"/>
  <c r="H74" i="49"/>
  <c r="H71" i="49"/>
  <c r="H73" i="49" s="1"/>
  <c r="H86" i="49"/>
  <c r="I80" i="49" l="1"/>
  <c r="I57" i="49"/>
  <c r="N16" i="37"/>
  <c r="N29" i="37" s="1"/>
  <c r="N48" i="37"/>
  <c r="B29" i="37" l="1"/>
  <c r="N49" i="37"/>
  <c r="N50" i="37" s="1"/>
  <c r="N22" i="37"/>
  <c r="N30" i="37" s="1"/>
  <c r="N34" i="37" s="1"/>
  <c r="I55" i="49"/>
  <c r="I79" i="49"/>
  <c r="I81" i="49" l="1"/>
  <c r="N51" i="37"/>
  <c r="I76" i="49"/>
  <c r="I65" i="49"/>
  <c r="N36" i="37"/>
  <c r="N40" i="37" s="1"/>
  <c r="N52" i="37" l="1"/>
  <c r="I82" i="49"/>
  <c r="N37" i="37"/>
  <c r="I66" i="49"/>
  <c r="I67" i="49"/>
  <c r="I69" i="49" l="1"/>
  <c r="O39" i="37"/>
  <c r="O25" i="37" s="1"/>
  <c r="N38" i="37"/>
  <c r="O26" i="37"/>
  <c r="N53" i="37"/>
  <c r="I83" i="49"/>
  <c r="I68" i="49"/>
  <c r="O27" i="37" l="1"/>
  <c r="O22" i="37" s="1"/>
  <c r="O21" i="37"/>
  <c r="J63" i="49"/>
  <c r="I84" i="49"/>
  <c r="N41" i="37"/>
  <c r="N54" i="37"/>
  <c r="O49" i="37" l="1"/>
  <c r="N45" i="37"/>
  <c r="N42" i="37"/>
  <c r="I70" i="49"/>
  <c r="I85" i="49"/>
  <c r="N55" i="37"/>
  <c r="J80" i="49"/>
  <c r="J60" i="49"/>
  <c r="I75" i="49" l="1"/>
  <c r="I74" i="49"/>
  <c r="I71" i="49"/>
  <c r="I73" i="49" s="1"/>
  <c r="N43" i="37"/>
  <c r="N44" i="37" s="1"/>
  <c r="I86" i="49"/>
  <c r="O18" i="37" l="1"/>
  <c r="J57" i="49"/>
  <c r="J55" i="49" l="1"/>
  <c r="J79" i="49"/>
  <c r="O16" i="37"/>
  <c r="O48" i="37"/>
  <c r="O50" i="37" l="1"/>
  <c r="J81" i="49"/>
  <c r="O30" i="37"/>
  <c r="O34" i="37" s="1"/>
  <c r="J76" i="49"/>
  <c r="J65" i="49"/>
  <c r="O36" i="37" l="1"/>
  <c r="O40" i="37" s="1"/>
  <c r="J82" i="49"/>
  <c r="O51" i="37"/>
  <c r="J66" i="49"/>
  <c r="J67" i="49"/>
  <c r="J68" i="49" l="1"/>
  <c r="K63" i="49" s="1"/>
  <c r="J69" i="49"/>
  <c r="O52" i="37"/>
  <c r="J83" i="49"/>
  <c r="O37" i="37"/>
  <c r="O38" i="37" l="1"/>
  <c r="P39" i="37"/>
  <c r="P25" i="37" s="1"/>
  <c r="P26" i="37"/>
  <c r="J84" i="49"/>
  <c r="O53" i="37"/>
  <c r="K80" i="49"/>
  <c r="K60" i="49"/>
  <c r="O41" i="37" l="1"/>
  <c r="O54" i="37"/>
  <c r="J70" i="49"/>
  <c r="J85" i="49"/>
  <c r="P27" i="37"/>
  <c r="P21" i="37"/>
  <c r="J86" i="49" l="1"/>
  <c r="O45" i="37"/>
  <c r="O42" i="37"/>
  <c r="P22" i="37"/>
  <c r="J75" i="49"/>
  <c r="J74" i="49"/>
  <c r="J71" i="49"/>
  <c r="J73" i="49" s="1"/>
  <c r="P49" i="37"/>
  <c r="O55" i="37"/>
  <c r="O43" i="37" l="1"/>
  <c r="O44" i="37" s="1"/>
  <c r="K57" i="49"/>
  <c r="P18" i="37" l="1"/>
  <c r="K55" i="49"/>
  <c r="K79" i="49"/>
  <c r="K81" i="49" s="1"/>
  <c r="K82" i="49" l="1"/>
  <c r="P16" i="37"/>
  <c r="P48" i="37"/>
  <c r="K76" i="49"/>
  <c r="K65" i="49"/>
  <c r="P30" i="37" l="1"/>
  <c r="P34" i="37" s="1"/>
  <c r="K83" i="49"/>
  <c r="K84" i="49" s="1"/>
  <c r="K66" i="49"/>
  <c r="K67" i="49"/>
  <c r="P50" i="37"/>
  <c r="K69" i="49" l="1"/>
  <c r="P36" i="37"/>
  <c r="P40" i="37" s="1"/>
  <c r="K68" i="49"/>
  <c r="P51" i="37"/>
  <c r="K70" i="49"/>
  <c r="K85" i="49"/>
  <c r="K86" i="49" s="1"/>
  <c r="P37" i="37" l="1"/>
  <c r="K75" i="49"/>
  <c r="K74" i="49"/>
  <c r="P52" i="37"/>
  <c r="L63" i="49"/>
  <c r="K71" i="49"/>
  <c r="K73" i="49" s="1"/>
  <c r="L57" i="49" l="1"/>
  <c r="L60" i="49"/>
  <c r="L80" i="49"/>
  <c r="Q39" i="37"/>
  <c r="Q25" i="37" s="1"/>
  <c r="P38" i="37"/>
  <c r="Q26" i="37"/>
  <c r="P53" i="37"/>
  <c r="P41" i="37" l="1"/>
  <c r="P54" i="37"/>
  <c r="L55" i="49"/>
  <c r="L79" i="49"/>
  <c r="L81" i="49" s="1"/>
  <c r="Q27" i="37"/>
  <c r="Q49" i="37" s="1"/>
  <c r="Q21" i="37"/>
  <c r="Q22" i="37" l="1"/>
  <c r="P45" i="37"/>
  <c r="P42" i="37"/>
  <c r="L82" i="49"/>
  <c r="L76" i="49"/>
  <c r="L65" i="49"/>
  <c r="P55" i="37"/>
  <c r="L66" i="49" l="1"/>
  <c r="L67" i="49"/>
  <c r="P43" i="37"/>
  <c r="P44" i="37" s="1"/>
  <c r="L83" i="49"/>
  <c r="L84" i="49" s="1"/>
  <c r="L68" i="49" l="1"/>
  <c r="M63" i="49" s="1"/>
  <c r="L70" i="49"/>
  <c r="L85" i="49"/>
  <c r="L86" i="49" s="1"/>
  <c r="Q18" i="37"/>
  <c r="L69" i="49"/>
  <c r="L71" i="49" l="1"/>
  <c r="L73" i="49" s="1"/>
  <c r="M57" i="49" s="1"/>
  <c r="Q48" i="37"/>
  <c r="Q16" i="37"/>
  <c r="L75" i="49"/>
  <c r="L74" i="49"/>
  <c r="M60" i="49"/>
  <c r="M80" i="49"/>
  <c r="Q30" i="37" l="1"/>
  <c r="Q34" i="37" s="1"/>
  <c r="Q50" i="37"/>
  <c r="M55" i="49"/>
  <c r="M79" i="49"/>
  <c r="M81" i="49" s="1"/>
  <c r="M82" i="49" l="1"/>
  <c r="M76" i="49"/>
  <c r="M65" i="49"/>
  <c r="Q51" i="37"/>
  <c r="Q36" i="37"/>
  <c r="Q37" i="37" l="1"/>
  <c r="Q52" i="37"/>
  <c r="M66" i="49"/>
  <c r="M67" i="49"/>
  <c r="M83" i="49"/>
  <c r="M84" i="49" s="1"/>
  <c r="Q40" i="37"/>
  <c r="M69" i="49" l="1"/>
  <c r="Q53" i="37"/>
  <c r="R39" i="37"/>
  <c r="R25" i="37" s="1"/>
  <c r="Q38" i="37"/>
  <c r="R26" i="37"/>
  <c r="M68" i="49"/>
  <c r="M70" i="49"/>
  <c r="M85" i="49"/>
  <c r="M86" i="49" s="1"/>
  <c r="N63" i="49" l="1"/>
  <c r="R27" i="37"/>
  <c r="R21" i="37"/>
  <c r="M75" i="49"/>
  <c r="M74" i="49"/>
  <c r="Q41" i="37"/>
  <c r="Q54" i="37"/>
  <c r="M71" i="49"/>
  <c r="M73" i="49" s="1"/>
  <c r="Q45" i="37" l="1"/>
  <c r="Q42" i="37"/>
  <c r="N57" i="49"/>
  <c r="Q55" i="37"/>
  <c r="N80" i="49"/>
  <c r="N60" i="49"/>
  <c r="R22" i="37"/>
  <c r="R49" i="37"/>
  <c r="N55" i="49" l="1"/>
  <c r="N79" i="49"/>
  <c r="N81" i="49" s="1"/>
  <c r="Q43" i="37"/>
  <c r="Q44" i="37" s="1"/>
  <c r="R18" i="37" l="1"/>
  <c r="N82" i="49"/>
  <c r="N76" i="49"/>
  <c r="N65" i="49"/>
  <c r="N83" i="49" l="1"/>
  <c r="N84" i="49" s="1"/>
  <c r="R48" i="37"/>
  <c r="R16" i="37"/>
  <c r="N66" i="49"/>
  <c r="N67" i="49"/>
  <c r="N69" i="49" l="1"/>
  <c r="N68" i="49"/>
  <c r="R30" i="37"/>
  <c r="R34" i="37" s="1"/>
  <c r="R50" i="37"/>
  <c r="N70" i="49"/>
  <c r="N85" i="49"/>
  <c r="N86" i="49" s="1"/>
  <c r="N75" i="49" l="1"/>
  <c r="N74" i="49"/>
  <c r="R51" i="37"/>
  <c r="R36" i="37"/>
  <c r="R40" i="37" s="1"/>
  <c r="O63" i="49"/>
  <c r="N71" i="49"/>
  <c r="N73" i="49" s="1"/>
  <c r="R52" i="37" l="1"/>
  <c r="O57" i="49"/>
  <c r="R37" i="37"/>
  <c r="O60" i="49"/>
  <c r="O80" i="49"/>
  <c r="R53" i="37" l="1"/>
  <c r="R38" i="37"/>
  <c r="S39" i="37"/>
  <c r="S25" i="37" s="1"/>
  <c r="S26" i="37"/>
  <c r="O79" i="49"/>
  <c r="O81" i="49" s="1"/>
  <c r="O55" i="49"/>
  <c r="O82" i="49" l="1"/>
  <c r="O76" i="49"/>
  <c r="O65" i="49"/>
  <c r="R41" i="37"/>
  <c r="R54" i="37"/>
  <c r="S27" i="37"/>
  <c r="S22" i="37" s="1"/>
  <c r="S21" i="37"/>
  <c r="O66" i="49" l="1"/>
  <c r="O67" i="49"/>
  <c r="R45" i="37"/>
  <c r="R42" i="37"/>
  <c r="S49" i="37"/>
  <c r="R55" i="37"/>
  <c r="O83" i="49"/>
  <c r="O84" i="49" s="1"/>
  <c r="O68" i="49" l="1"/>
  <c r="P63" i="49" s="1"/>
  <c r="R43" i="37"/>
  <c r="R44" i="37" s="1"/>
  <c r="O70" i="49"/>
  <c r="O85" i="49"/>
  <c r="O86" i="49" s="1"/>
  <c r="O69" i="49"/>
  <c r="O71" i="49" l="1"/>
  <c r="O73" i="49" s="1"/>
  <c r="P57" i="49" s="1"/>
  <c r="O75" i="49"/>
  <c r="O74" i="49"/>
  <c r="S18" i="37"/>
  <c r="P60" i="49"/>
  <c r="P80" i="49"/>
  <c r="S16" i="37" l="1"/>
  <c r="S48" i="37"/>
  <c r="P55" i="49"/>
  <c r="P79" i="49"/>
  <c r="P81" i="49" s="1"/>
  <c r="P82" i="49" l="1"/>
  <c r="P76" i="49"/>
  <c r="P65" i="49"/>
  <c r="S50" i="37"/>
  <c r="S30" i="37"/>
  <c r="S34" i="37" s="1"/>
  <c r="P83" i="49" l="1"/>
  <c r="P84" i="49" s="1"/>
  <c r="S51" i="37"/>
  <c r="P66" i="49"/>
  <c r="P67" i="49"/>
  <c r="S36" i="37"/>
  <c r="P69" i="49" l="1"/>
  <c r="P70" i="49"/>
  <c r="P85" i="49"/>
  <c r="P86" i="49" s="1"/>
  <c r="P68" i="49"/>
  <c r="S52" i="37"/>
  <c r="S37" i="37"/>
  <c r="S40" i="37"/>
  <c r="T39" i="37" l="1"/>
  <c r="T25" i="37" s="1"/>
  <c r="S38" i="37"/>
  <c r="T26" i="37"/>
  <c r="S53" i="37"/>
  <c r="P75" i="49"/>
  <c r="P74" i="49"/>
  <c r="Q63" i="49"/>
  <c r="P71" i="49"/>
  <c r="P73" i="49" s="1"/>
  <c r="S41" i="37" l="1"/>
  <c r="S54" i="37"/>
  <c r="Q80" i="49"/>
  <c r="Q60" i="49"/>
  <c r="T27" i="37"/>
  <c r="T21" i="37"/>
  <c r="Q57" i="49"/>
  <c r="T49" i="37" l="1"/>
  <c r="S45" i="37"/>
  <c r="S42" i="37"/>
  <c r="Q55" i="49"/>
  <c r="Q79" i="49"/>
  <c r="Q81" i="49" s="1"/>
  <c r="S55" i="37"/>
  <c r="T22" i="37"/>
  <c r="Q82" i="49" l="1"/>
  <c r="Q76" i="49"/>
  <c r="Q65" i="49"/>
  <c r="S43" i="37"/>
  <c r="S44" i="37" s="1"/>
  <c r="T18" i="37" l="1"/>
  <c r="Q66" i="49"/>
  <c r="Q67" i="49"/>
  <c r="Q83" i="49"/>
  <c r="Q84" i="49" s="1"/>
  <c r="Q69" i="49" l="1"/>
  <c r="Q70" i="49"/>
  <c r="Q85" i="49"/>
  <c r="Q86" i="49" s="1"/>
  <c r="Q68" i="49"/>
  <c r="T48" i="37"/>
  <c r="T16" i="37"/>
  <c r="Q75" i="49" l="1"/>
  <c r="Q74" i="49"/>
  <c r="Q71" i="49"/>
  <c r="Q73" i="49" s="1"/>
  <c r="R63" i="49"/>
  <c r="T30" i="37"/>
  <c r="T34" i="37" s="1"/>
  <c r="T50" i="37"/>
  <c r="T51" i="37" l="1"/>
  <c r="R80" i="49"/>
  <c r="R60" i="49"/>
  <c r="R57" i="49"/>
  <c r="T36" i="37"/>
  <c r="T37" i="37" l="1"/>
  <c r="T52" i="37"/>
  <c r="R79" i="49"/>
  <c r="R55" i="49"/>
  <c r="B57" i="49"/>
  <c r="T40" i="37"/>
  <c r="R76" i="49" l="1"/>
  <c r="B76" i="49" s="1"/>
  <c r="B55" i="49"/>
  <c r="B39" i="48" s="1"/>
  <c r="R65" i="49"/>
  <c r="T53" i="37"/>
  <c r="T38" i="37"/>
  <c r="U39" i="37"/>
  <c r="U25" i="37" s="1"/>
  <c r="U26" i="37"/>
  <c r="R81" i="49"/>
  <c r="B79" i="49"/>
  <c r="U27" i="37" l="1"/>
  <c r="U22" i="37" s="1"/>
  <c r="U21" i="37"/>
  <c r="R66" i="49"/>
  <c r="R67" i="49"/>
  <c r="T41" i="37"/>
  <c r="T54" i="37"/>
  <c r="R82" i="49"/>
  <c r="U49" i="37" l="1"/>
  <c r="R83" i="49"/>
  <c r="R84" i="49" s="1"/>
  <c r="T45" i="37"/>
  <c r="T42" i="37"/>
  <c r="R68" i="49"/>
  <c r="T55" i="37"/>
  <c r="R69" i="49"/>
  <c r="R70" i="49" l="1"/>
  <c r="R71" i="49" s="1"/>
  <c r="R73" i="49" s="1"/>
  <c r="R85" i="49"/>
  <c r="R86" i="49" s="1"/>
  <c r="T43" i="37"/>
  <c r="S63" i="49"/>
  <c r="S80" i="49" l="1"/>
  <c r="S81" i="49" s="1"/>
  <c r="S60" i="49"/>
  <c r="S65" i="49" s="1"/>
  <c r="R75" i="49"/>
  <c r="R74" i="49"/>
  <c r="T44" i="37"/>
  <c r="S66" i="49" l="1"/>
  <c r="S67" i="49"/>
  <c r="S82" i="49"/>
  <c r="U18" i="37"/>
  <c r="S69" i="49" l="1"/>
  <c r="S83" i="49"/>
  <c r="S84" i="49" s="1"/>
  <c r="U16" i="37"/>
  <c r="U48" i="37"/>
  <c r="S68" i="49"/>
  <c r="T63" i="49" l="1"/>
  <c r="U50" i="37"/>
  <c r="S70" i="49"/>
  <c r="S85" i="49"/>
  <c r="S86" i="49" s="1"/>
  <c r="U30" i="37"/>
  <c r="U34" i="37" s="1"/>
  <c r="U36" i="37" l="1"/>
  <c r="S74" i="49"/>
  <c r="S75" i="49"/>
  <c r="S71" i="49"/>
  <c r="S73" i="49" s="1"/>
  <c r="T60" i="49"/>
  <c r="T80" i="49"/>
  <c r="T81" i="49" s="1"/>
  <c r="U51" i="37"/>
  <c r="T65" i="49" l="1"/>
  <c r="T67" i="49" s="1"/>
  <c r="U37" i="37"/>
  <c r="U52" i="37"/>
  <c r="T82" i="49"/>
  <c r="U40" i="37"/>
  <c r="T66" i="49" l="1"/>
  <c r="T69" i="49" s="1"/>
  <c r="T83" i="49"/>
  <c r="T84" i="49" s="1"/>
  <c r="U53" i="37"/>
  <c r="U38" i="37"/>
  <c r="V39" i="37"/>
  <c r="V25" i="37" s="1"/>
  <c r="V26" i="37"/>
  <c r="T68" i="49" l="1"/>
  <c r="U63" i="49" s="1"/>
  <c r="U80" i="49" s="1"/>
  <c r="U81" i="49" s="1"/>
  <c r="V27" i="37"/>
  <c r="V49" i="37" s="1"/>
  <c r="V21" i="37"/>
  <c r="T70" i="49"/>
  <c r="T85" i="49"/>
  <c r="T86" i="49" s="1"/>
  <c r="U41" i="37"/>
  <c r="U54" i="37"/>
  <c r="U60" i="49" l="1"/>
  <c r="V22" i="37"/>
  <c r="T75" i="49"/>
  <c r="T74" i="49"/>
  <c r="T71" i="49"/>
  <c r="T73" i="49" s="1"/>
  <c r="U82" i="49"/>
  <c r="U55" i="37"/>
  <c r="U45" i="37"/>
  <c r="U42" i="37"/>
  <c r="U65" i="49" l="1"/>
  <c r="U67" i="49" s="1"/>
  <c r="U43" i="37"/>
  <c r="U44" i="37" s="1"/>
  <c r="U83" i="49"/>
  <c r="U84" i="49" s="1"/>
  <c r="U66" i="49" l="1"/>
  <c r="U68" i="49" s="1"/>
  <c r="V63" i="49" s="1"/>
  <c r="V18" i="37"/>
  <c r="U70" i="49"/>
  <c r="U85" i="49"/>
  <c r="U86" i="49" s="1"/>
  <c r="U69" i="49" l="1"/>
  <c r="U71" i="49" s="1"/>
  <c r="U73" i="49" s="1"/>
  <c r="V16" i="37"/>
  <c r="V48" i="37"/>
  <c r="V80" i="49"/>
  <c r="V81" i="49" s="1"/>
  <c r="V60" i="49"/>
  <c r="U75" i="49"/>
  <c r="U74" i="49"/>
  <c r="V30" i="37" l="1"/>
  <c r="V34" i="37" s="1"/>
  <c r="V82" i="49"/>
  <c r="V65" i="49"/>
  <c r="V50" i="37"/>
  <c r="V51" i="37" l="1"/>
  <c r="V67" i="49"/>
  <c r="V66" i="49"/>
  <c r="V83" i="49"/>
  <c r="V84" i="49" s="1"/>
  <c r="V36" i="37"/>
  <c r="V40" i="37" s="1"/>
  <c r="V68" i="49" l="1"/>
  <c r="W63" i="49" s="1"/>
  <c r="V37" i="37"/>
  <c r="V70" i="49"/>
  <c r="V85" i="49"/>
  <c r="V86" i="49" s="1"/>
  <c r="V69" i="49"/>
  <c r="V52" i="37"/>
  <c r="V71" i="49" l="1"/>
  <c r="V73" i="49" s="1"/>
  <c r="W60" i="49"/>
  <c r="W80" i="49"/>
  <c r="W81" i="49" s="1"/>
  <c r="V75" i="49"/>
  <c r="V74" i="49"/>
  <c r="V53" i="37"/>
  <c r="V38" i="37"/>
  <c r="W26" i="37"/>
  <c r="W65" i="49" l="1"/>
  <c r="W66" i="49" s="1"/>
  <c r="W82" i="49"/>
  <c r="W27" i="37"/>
  <c r="W21" i="37"/>
  <c r="V41" i="37"/>
  <c r="V54" i="37"/>
  <c r="W25" i="37"/>
  <c r="W67" i="49" l="1"/>
  <c r="W69" i="49" s="1"/>
  <c r="V45" i="37"/>
  <c r="V42" i="37"/>
  <c r="W22" i="37"/>
  <c r="W49" i="37"/>
  <c r="V55" i="37"/>
  <c r="W83" i="49"/>
  <c r="W84" i="49" s="1"/>
  <c r="W68" i="49" l="1"/>
  <c r="X63" i="49" s="1"/>
  <c r="V43" i="37"/>
  <c r="W70" i="49"/>
  <c r="W85" i="49"/>
  <c r="W86" i="49" s="1"/>
  <c r="W75" i="49" l="1"/>
  <c r="W74" i="49"/>
  <c r="W71" i="49"/>
  <c r="W73" i="49" s="1"/>
  <c r="X80" i="49"/>
  <c r="X81" i="49" s="1"/>
  <c r="X60" i="49"/>
  <c r="V44" i="37"/>
  <c r="X65" i="49" l="1"/>
  <c r="X82" i="49"/>
  <c r="W18" i="37"/>
  <c r="X83" i="49" l="1"/>
  <c r="X84" i="49" s="1"/>
  <c r="W16" i="37"/>
  <c r="W48" i="37"/>
  <c r="X67" i="49"/>
  <c r="X66" i="49"/>
  <c r="X69" i="49" l="1"/>
  <c r="X68" i="49"/>
  <c r="Y63" i="49" s="1"/>
  <c r="W50" i="37"/>
  <c r="X70" i="49"/>
  <c r="X85" i="49"/>
  <c r="X86" i="49" s="1"/>
  <c r="W30" i="37"/>
  <c r="W34" i="37" s="1"/>
  <c r="X75" i="49" l="1"/>
  <c r="X74" i="49"/>
  <c r="W36" i="37"/>
  <c r="W40" i="37" s="1"/>
  <c r="W51" i="37"/>
  <c r="Y80" i="49"/>
  <c r="Y81" i="49" s="1"/>
  <c r="Y60" i="49"/>
  <c r="X71" i="49"/>
  <c r="X73" i="49" s="1"/>
  <c r="Y82" i="49" l="1"/>
  <c r="W37" i="37"/>
  <c r="Y65" i="49"/>
  <c r="W52" i="37"/>
  <c r="W38" i="37" l="1"/>
  <c r="X26" i="37"/>
  <c r="W53" i="37"/>
  <c r="Y66" i="49"/>
  <c r="Y67" i="49"/>
  <c r="Y83" i="49"/>
  <c r="Y84" i="49" s="1"/>
  <c r="Y69" i="49" l="1"/>
  <c r="Y68" i="49"/>
  <c r="Z63" i="49" s="1"/>
  <c r="W41" i="37"/>
  <c r="W54" i="37"/>
  <c r="X27" i="37"/>
  <c r="X21" i="37"/>
  <c r="Y70" i="49"/>
  <c r="Y85" i="49"/>
  <c r="Y86" i="49" s="1"/>
  <c r="X25" i="37"/>
  <c r="W55" i="37" l="1"/>
  <c r="Y74" i="49"/>
  <c r="Y75" i="49"/>
  <c r="X49" i="37"/>
  <c r="X22" i="37"/>
  <c r="W45" i="37"/>
  <c r="W42" i="37"/>
  <c r="Z80" i="49"/>
  <c r="Z60" i="49"/>
  <c r="B63" i="49"/>
  <c r="Y71" i="49"/>
  <c r="Y73" i="49" s="1"/>
  <c r="Z65" i="49" l="1"/>
  <c r="Z67" i="49" s="1"/>
  <c r="B67" i="49" s="1"/>
  <c r="B60" i="49"/>
  <c r="W43" i="37"/>
  <c r="W44" i="37" s="1"/>
  <c r="Z81" i="49"/>
  <c r="B80" i="49"/>
  <c r="Z66" i="49" l="1"/>
  <c r="B66" i="49" s="1"/>
  <c r="B81" i="49"/>
  <c r="Z82" i="49"/>
  <c r="Z83" i="49" s="1"/>
  <c r="X18" i="37"/>
  <c r="Z68" i="49" l="1"/>
  <c r="Z69" i="49"/>
  <c r="Z84" i="49"/>
  <c r="B83" i="49"/>
  <c r="X16" i="37"/>
  <c r="X48" i="37"/>
  <c r="X50" i="37" l="1"/>
  <c r="Z70" i="49"/>
  <c r="B84" i="49"/>
  <c r="B87" i="49" s="1"/>
  <c r="Z85" i="49"/>
  <c r="X30" i="37"/>
  <c r="X34" i="37" s="1"/>
  <c r="B70" i="49" l="1"/>
  <c r="B40" i="48" s="1"/>
  <c r="B42" i="48" s="1"/>
  <c r="B43" i="48" s="1"/>
  <c r="Z74" i="49"/>
  <c r="Z75" i="49"/>
  <c r="B75" i="49" s="1"/>
  <c r="Z71" i="49"/>
  <c r="Z73" i="49" s="1"/>
  <c r="X36" i="37"/>
  <c r="X40" i="37" s="1"/>
  <c r="B85" i="49"/>
  <c r="Z86" i="49"/>
  <c r="X51" i="37"/>
  <c r="X37" i="37" l="1"/>
  <c r="B77" i="49"/>
  <c r="B44" i="48" s="1"/>
  <c r="B74" i="49"/>
  <c r="X52" i="37"/>
  <c r="X53" i="37" l="1"/>
  <c r="X38" i="37"/>
  <c r="Y26" i="37"/>
  <c r="X41" i="37" l="1"/>
  <c r="X54" i="37"/>
  <c r="Y25" i="37"/>
  <c r="Y27" i="37"/>
  <c r="Y21" i="37"/>
  <c r="X45" i="37" l="1"/>
  <c r="X42" i="37"/>
  <c r="Y49" i="37"/>
  <c r="Y22" i="37"/>
  <c r="X55" i="37"/>
  <c r="X43" i="37" l="1"/>
  <c r="X44" i="37" s="1"/>
  <c r="Y18" i="37" l="1"/>
  <c r="Y16" i="37" l="1"/>
  <c r="Y48" i="37"/>
  <c r="Y50" i="37" l="1"/>
  <c r="Y30" i="37"/>
  <c r="Y34" i="37" s="1"/>
  <c r="Y36" i="37" l="1"/>
  <c r="Y40" i="37" s="1"/>
  <c r="Y51" i="37"/>
  <c r="Y52" i="37" l="1"/>
  <c r="Y37" i="37"/>
  <c r="Y38" i="37" l="1"/>
  <c r="Z26" i="37"/>
  <c r="Y53" i="37"/>
  <c r="Z27" i="37" l="1"/>
  <c r="B26" i="37"/>
  <c r="Z21" i="37"/>
  <c r="Y41" i="37"/>
  <c r="Y54" i="37"/>
  <c r="Z25" i="37"/>
  <c r="Y45" i="37" l="1"/>
  <c r="Y42" i="37"/>
  <c r="Z49" i="37"/>
  <c r="Z22" i="37"/>
  <c r="B22" i="37" s="1"/>
  <c r="B25" i="37"/>
  <c r="B27" i="37"/>
  <c r="Y55" i="37"/>
  <c r="Y43" i="37" l="1"/>
  <c r="B49" i="37"/>
  <c r="C33" i="35" s="1"/>
  <c r="Y44" i="37" l="1"/>
  <c r="Z18" i="37" l="1"/>
  <c r="Z48" i="37" l="1"/>
  <c r="Z16" i="37"/>
  <c r="B18" i="37"/>
  <c r="B16" i="37" l="1"/>
  <c r="Z30" i="37"/>
  <c r="Z34" i="37" s="1"/>
  <c r="Z50" i="37"/>
  <c r="B48" i="37"/>
  <c r="C32" i="35" s="1"/>
  <c r="Z36" i="37" l="1"/>
  <c r="Z40" i="37" s="1"/>
  <c r="B50" i="37"/>
  <c r="Z51" i="37"/>
  <c r="Z52" i="37" s="1"/>
  <c r="Z53" i="37" l="1"/>
  <c r="B52" i="37"/>
  <c r="B36" i="37"/>
  <c r="Z37" i="37"/>
  <c r="Z38" i="37" l="1"/>
  <c r="Z41" i="37"/>
  <c r="B53" i="37"/>
  <c r="Z54" i="37"/>
  <c r="B41" i="37" l="1"/>
  <c r="Z45" i="37"/>
  <c r="Z42" i="37"/>
  <c r="B56" i="37"/>
  <c r="C34" i="35"/>
  <c r="B54" i="37"/>
  <c r="Z55" i="37"/>
  <c r="Z43" i="37" l="1"/>
  <c r="B46" i="37"/>
  <c r="C37" i="35" s="1"/>
  <c r="B45" i="37"/>
  <c r="C35" i="35"/>
  <c r="B43" i="37" l="1"/>
  <c r="Z44" i="37"/>
  <c r="C36" i="35"/>
  <c r="J19" i="38" l="1"/>
  <c r="J16" i="38" l="1"/>
  <c r="J29" i="38" s="1"/>
  <c r="J14" i="47"/>
  <c r="B19" i="38"/>
  <c r="J49" i="38" l="1"/>
  <c r="J24" i="47"/>
  <c r="J17" i="47" s="1"/>
  <c r="J22" i="38"/>
  <c r="J30" i="38" s="1"/>
  <c r="J34" i="38" s="1"/>
  <c r="J61" i="47"/>
  <c r="J60" i="47" s="1"/>
  <c r="J75" i="47" s="1"/>
  <c r="J11" i="47"/>
  <c r="J50" i="38" l="1"/>
  <c r="J44" i="47"/>
  <c r="J45" i="47" s="1"/>
  <c r="J46" i="47" s="1"/>
  <c r="J25" i="47"/>
  <c r="J29" i="47" s="1"/>
  <c r="J35" i="38"/>
  <c r="J40" i="38" s="1"/>
  <c r="J36" i="38"/>
  <c r="J51" i="38" l="1"/>
  <c r="J52" i="38" s="1"/>
  <c r="J31" i="47"/>
  <c r="J37" i="38"/>
  <c r="J30" i="47"/>
  <c r="J53" i="38" l="1"/>
  <c r="J47" i="47"/>
  <c r="K39" i="38"/>
  <c r="K25" i="38" s="1"/>
  <c r="K26" i="38"/>
  <c r="J35" i="47"/>
  <c r="J32" i="47"/>
  <c r="J38" i="38"/>
  <c r="J33" i="47" s="1"/>
  <c r="J41" i="38" l="1"/>
  <c r="J48" i="47"/>
  <c r="J54" i="38"/>
  <c r="K27" i="38"/>
  <c r="K21" i="38"/>
  <c r="K21" i="47"/>
  <c r="K58" i="47" s="1"/>
  <c r="K20" i="47"/>
  <c r="J55" i="38" l="1"/>
  <c r="J50" i="47" s="1"/>
  <c r="J49" i="47"/>
  <c r="J36" i="47"/>
  <c r="J45" i="38"/>
  <c r="J42" i="38"/>
  <c r="K16" i="47"/>
  <c r="K22" i="47"/>
  <c r="K59" i="47" s="1"/>
  <c r="J40" i="47" l="1"/>
  <c r="J37" i="47"/>
  <c r="J43" i="38"/>
  <c r="J38" i="47" s="1"/>
  <c r="J56" i="47" s="1"/>
  <c r="J55" i="47" s="1"/>
  <c r="J44" i="38" l="1"/>
  <c r="K18" i="38" s="1"/>
  <c r="J76" i="47"/>
  <c r="J74" i="47"/>
  <c r="J65" i="47"/>
  <c r="J39" i="47"/>
  <c r="J67" i="47" l="1"/>
  <c r="J66" i="47"/>
  <c r="K16" i="38"/>
  <c r="K29" i="38" s="1"/>
  <c r="K48" i="38"/>
  <c r="K43" i="47" s="1"/>
  <c r="K13" i="47"/>
  <c r="K11" i="47" s="1"/>
  <c r="J69" i="47" l="1"/>
  <c r="J71" i="47" s="1"/>
  <c r="J73" i="47" s="1"/>
  <c r="K57" i="47" s="1"/>
  <c r="K79" i="47" s="1"/>
  <c r="J68" i="47"/>
  <c r="K63" i="47" s="1"/>
  <c r="K60" i="47" s="1"/>
  <c r="K22" i="38"/>
  <c r="K30" i="38" s="1"/>
  <c r="K34" i="38" s="1"/>
  <c r="K49" i="38"/>
  <c r="K24" i="47"/>
  <c r="K17" i="47" s="1"/>
  <c r="K25" i="47" s="1"/>
  <c r="K29" i="47" s="1"/>
  <c r="K80" i="47" l="1"/>
  <c r="K81" i="47" s="1"/>
  <c r="K82" i="47" s="1"/>
  <c r="K83" i="47" s="1"/>
  <c r="K84" i="47" s="1"/>
  <c r="K70" i="47" s="1"/>
  <c r="K75" i="47" s="1"/>
  <c r="K36" i="38"/>
  <c r="K31" i="47" s="1"/>
  <c r="K35" i="38"/>
  <c r="K44" i="47"/>
  <c r="K45" i="47" s="1"/>
  <c r="K46" i="47" s="1"/>
  <c r="K50" i="38"/>
  <c r="K51" i="38" s="1"/>
  <c r="K52" i="38" s="1"/>
  <c r="K37" i="38" l="1"/>
  <c r="K38" i="38" s="1"/>
  <c r="K33" i="47" s="1"/>
  <c r="K30" i="47"/>
  <c r="K35" i="47" s="1"/>
  <c r="K85" i="47"/>
  <c r="K86" i="47" s="1"/>
  <c r="K40" i="38"/>
  <c r="K53" i="38"/>
  <c r="K41" i="38" s="1"/>
  <c r="K47" i="47"/>
  <c r="L26" i="38"/>
  <c r="K32" i="47" l="1"/>
  <c r="L39" i="38"/>
  <c r="L25" i="38" s="1"/>
  <c r="L20" i="47" s="1"/>
  <c r="K45" i="38"/>
  <c r="K42" i="38"/>
  <c r="L27" i="38"/>
  <c r="L21" i="47"/>
  <c r="L58" i="47" s="1"/>
  <c r="L21" i="38"/>
  <c r="K48" i="47"/>
  <c r="K54" i="38"/>
  <c r="K43" i="38" l="1"/>
  <c r="K44" i="38" s="1"/>
  <c r="K36" i="47"/>
  <c r="L22" i="47"/>
  <c r="L59" i="47" s="1"/>
  <c r="K49" i="47"/>
  <c r="K55" i="38"/>
  <c r="L16" i="47"/>
  <c r="K50" i="47" l="1"/>
  <c r="K40" i="47"/>
  <c r="K37" i="47"/>
  <c r="L18" i="38" l="1"/>
  <c r="K38" i="47"/>
  <c r="K56" i="47" s="1"/>
  <c r="K55" i="47" s="1"/>
  <c r="K76" i="47" l="1"/>
  <c r="K74" i="47"/>
  <c r="K65" i="47"/>
  <c r="K39" i="47"/>
  <c r="L48" i="38"/>
  <c r="L16" i="38"/>
  <c r="L13" i="47"/>
  <c r="L29" i="38" l="1"/>
  <c r="K66" i="47"/>
  <c r="K67" i="47"/>
  <c r="L43" i="47"/>
  <c r="L22" i="38" l="1"/>
  <c r="L49" i="38"/>
  <c r="K68" i="47"/>
  <c r="K69" i="47"/>
  <c r="K71" i="47" s="1"/>
  <c r="K73" i="47" s="1"/>
  <c r="L57" i="47" s="1"/>
  <c r="L79" i="47" s="1"/>
  <c r="L30" i="38" l="1"/>
  <c r="L34" i="38" s="1"/>
  <c r="L50" i="38"/>
  <c r="L63" i="47"/>
  <c r="L80" i="47" l="1"/>
  <c r="L81" i="47" s="1"/>
  <c r="L35" i="38"/>
  <c r="L36" i="38"/>
  <c r="L51" i="38"/>
  <c r="L37" i="38" l="1"/>
  <c r="L82" i="47"/>
  <c r="L83" i="47" s="1"/>
  <c r="L84" i="47" s="1"/>
  <c r="L70" i="47" s="1"/>
  <c r="L52" i="38"/>
  <c r="L40" i="38"/>
  <c r="L53" i="38" l="1"/>
  <c r="M39" i="38"/>
  <c r="M25" i="38" s="1"/>
  <c r="L38" i="38"/>
  <c r="M26" i="38"/>
  <c r="L85" i="47"/>
  <c r="L86" i="47" s="1"/>
  <c r="M27" i="38" l="1"/>
  <c r="M21" i="38"/>
  <c r="L41" i="38"/>
  <c r="L54" i="38"/>
  <c r="L55" i="38" l="1"/>
  <c r="L45" i="38"/>
  <c r="L42" i="38"/>
  <c r="L43" i="38" l="1"/>
  <c r="L44" i="38" l="1"/>
  <c r="M18" i="38" l="1"/>
  <c r="M48" i="38" l="1"/>
  <c r="M16" i="38"/>
  <c r="M29" i="38" l="1"/>
  <c r="M49" i="38" l="1"/>
  <c r="M22" i="38"/>
  <c r="M30" i="38" l="1"/>
  <c r="M34" i="38" s="1"/>
  <c r="M50" i="38"/>
  <c r="M51" i="38" l="1"/>
  <c r="M35" i="38"/>
  <c r="M36" i="38"/>
  <c r="M52" i="38" l="1"/>
  <c r="M37" i="38"/>
  <c r="M40" i="38"/>
  <c r="M53" i="38" l="1"/>
  <c r="N39" i="38"/>
  <c r="N25" i="38" s="1"/>
  <c r="M38" i="38"/>
  <c r="N26" i="38"/>
  <c r="N19" i="40" l="1"/>
  <c r="M41" i="38"/>
  <c r="M54" i="38"/>
  <c r="N27" i="38"/>
  <c r="N21" i="38"/>
  <c r="N16" i="40" l="1"/>
  <c r="N29" i="40" s="1"/>
  <c r="N14" i="47"/>
  <c r="B19" i="40"/>
  <c r="M45" i="38"/>
  <c r="M42" i="38"/>
  <c r="M55" i="38"/>
  <c r="N22" i="40" l="1"/>
  <c r="N30" i="40" s="1"/>
  <c r="N34" i="40" s="1"/>
  <c r="N49" i="40"/>
  <c r="N50" i="40" s="1"/>
  <c r="N51" i="40" s="1"/>
  <c r="N52" i="40" s="1"/>
  <c r="N61" i="47"/>
  <c r="M43" i="38"/>
  <c r="M44" i="38" s="1"/>
  <c r="N36" i="40" l="1"/>
  <c r="N35" i="40"/>
  <c r="N53" i="40"/>
  <c r="N18" i="38"/>
  <c r="N37" i="40" l="1"/>
  <c r="N41" i="40"/>
  <c r="N54" i="40"/>
  <c r="N40" i="40"/>
  <c r="N48" i="38"/>
  <c r="N16" i="38"/>
  <c r="N42" i="40" l="1"/>
  <c r="N43" i="40" s="1"/>
  <c r="N44" i="40" s="1"/>
  <c r="N45" i="40"/>
  <c r="N55" i="40"/>
  <c r="O26" i="40"/>
  <c r="O39" i="40"/>
  <c r="O25" i="40" s="1"/>
  <c r="N38" i="40"/>
  <c r="N29" i="38"/>
  <c r="O18" i="40" l="1"/>
  <c r="O27" i="40"/>
  <c r="O21" i="40"/>
  <c r="N49" i="38"/>
  <c r="N22" i="38"/>
  <c r="O16" i="40" l="1"/>
  <c r="O48" i="40"/>
  <c r="N50" i="38"/>
  <c r="N30" i="38"/>
  <c r="N34" i="38" s="1"/>
  <c r="O29" i="40" l="1"/>
  <c r="N35" i="38"/>
  <c r="N36" i="38"/>
  <c r="N51" i="38"/>
  <c r="O22" i="40" l="1"/>
  <c r="O49" i="40"/>
  <c r="N37" i="38"/>
  <c r="N52" i="38"/>
  <c r="N40" i="38"/>
  <c r="O30" i="40" l="1"/>
  <c r="O34" i="40" s="1"/>
  <c r="O50" i="40"/>
  <c r="N53" i="38"/>
  <c r="O39" i="38"/>
  <c r="O25" i="38" s="1"/>
  <c r="N38" i="38"/>
  <c r="O26" i="38"/>
  <c r="O36" i="40" l="1"/>
  <c r="O35" i="40"/>
  <c r="O51" i="40"/>
  <c r="O27" i="38"/>
  <c r="O21" i="38"/>
  <c r="N41" i="38"/>
  <c r="N54" i="38"/>
  <c r="O37" i="40" l="1"/>
  <c r="O52" i="40"/>
  <c r="O40" i="40"/>
  <c r="N55" i="38"/>
  <c r="N45" i="38"/>
  <c r="N42" i="38"/>
  <c r="O53" i="40" l="1"/>
  <c r="P39" i="40"/>
  <c r="P25" i="40" s="1"/>
  <c r="O38" i="40"/>
  <c r="P26" i="40"/>
  <c r="N43" i="38"/>
  <c r="P27" i="40" l="1"/>
  <c r="P21" i="40"/>
  <c r="O41" i="40"/>
  <c r="O54" i="40"/>
  <c r="N44" i="38"/>
  <c r="O45" i="40" l="1"/>
  <c r="O42" i="40"/>
  <c r="O55" i="40"/>
  <c r="O18" i="38"/>
  <c r="O43" i="40" l="1"/>
  <c r="O44" i="40" s="1"/>
  <c r="O16" i="38"/>
  <c r="O48" i="38"/>
  <c r="P18" i="40" l="1"/>
  <c r="O29" i="38"/>
  <c r="P16" i="40" l="1"/>
  <c r="P48" i="40"/>
  <c r="O49" i="38"/>
  <c r="O22" i="38"/>
  <c r="P29" i="40" l="1"/>
  <c r="O30" i="38"/>
  <c r="O34" i="38" s="1"/>
  <c r="O50" i="38"/>
  <c r="P49" i="40" l="1"/>
  <c r="P22" i="40"/>
  <c r="O36" i="38"/>
  <c r="O35" i="38"/>
  <c r="O51" i="38"/>
  <c r="P30" i="40" l="1"/>
  <c r="P34" i="40" s="1"/>
  <c r="P50" i="40"/>
  <c r="B35" i="38"/>
  <c r="O37" i="38"/>
  <c r="O52" i="38"/>
  <c r="O53" i="38" s="1"/>
  <c r="O40" i="38"/>
  <c r="P35" i="40" l="1"/>
  <c r="P36" i="40"/>
  <c r="P51" i="40"/>
  <c r="P39" i="38"/>
  <c r="P25" i="38" s="1"/>
  <c r="O38" i="38"/>
  <c r="P26" i="38"/>
  <c r="P40" i="40" l="1"/>
  <c r="P52" i="40"/>
  <c r="P37" i="40"/>
  <c r="P21" i="38"/>
  <c r="P27" i="38" s="1"/>
  <c r="O41" i="38"/>
  <c r="O54" i="38"/>
  <c r="P38" i="40" l="1"/>
  <c r="Q39" i="40"/>
  <c r="Q25" i="40" s="1"/>
  <c r="Q26" i="40"/>
  <c r="P53" i="40"/>
  <c r="O45" i="38"/>
  <c r="O42" i="38"/>
  <c r="O55" i="38"/>
  <c r="P41" i="40" l="1"/>
  <c r="P54" i="40"/>
  <c r="Q27" i="40"/>
  <c r="Q21" i="40"/>
  <c r="O43" i="38"/>
  <c r="P45" i="40" l="1"/>
  <c r="P42" i="40"/>
  <c r="P55" i="40"/>
  <c r="O44" i="38"/>
  <c r="P43" i="40" l="1"/>
  <c r="P18" i="38"/>
  <c r="P44" i="40" l="1"/>
  <c r="P16" i="38"/>
  <c r="P48" i="38"/>
  <c r="Q18" i="40" l="1"/>
  <c r="P29" i="38"/>
  <c r="Q48" i="40" l="1"/>
  <c r="Q16" i="40"/>
  <c r="P22" i="38"/>
  <c r="P49" i="38"/>
  <c r="Q29" i="40" l="1"/>
  <c r="P50" i="38"/>
  <c r="P30" i="38"/>
  <c r="P34" i="38" s="1"/>
  <c r="Q49" i="40" l="1"/>
  <c r="Q22" i="40"/>
  <c r="P36" i="38"/>
  <c r="P40" i="38" s="1"/>
  <c r="P51" i="38"/>
  <c r="Q30" i="40" l="1"/>
  <c r="Q34" i="40" s="1"/>
  <c r="Q50" i="40"/>
  <c r="P52" i="38"/>
  <c r="P37" i="38"/>
  <c r="Q35" i="40" l="1"/>
  <c r="Q36" i="40"/>
  <c r="Q51" i="40"/>
  <c r="Q39" i="38"/>
  <c r="Q25" i="38" s="1"/>
  <c r="P38" i="38"/>
  <c r="Q26" i="38"/>
  <c r="P53" i="38"/>
  <c r="Q40" i="40" l="1"/>
  <c r="Q52" i="40"/>
  <c r="Q37" i="40"/>
  <c r="Q21" i="38"/>
  <c r="Q27" i="38" s="1"/>
  <c r="P41" i="38"/>
  <c r="P54" i="38"/>
  <c r="Q53" i="40" l="1"/>
  <c r="R39" i="40"/>
  <c r="R25" i="40" s="1"/>
  <c r="Q38" i="40"/>
  <c r="R26" i="40"/>
  <c r="P45" i="38"/>
  <c r="P42" i="38"/>
  <c r="P55" i="38"/>
  <c r="R27" i="40" l="1"/>
  <c r="R21" i="40"/>
  <c r="Q41" i="40"/>
  <c r="Q54" i="40"/>
  <c r="P43" i="38"/>
  <c r="Q45" i="40" l="1"/>
  <c r="Q42" i="40"/>
  <c r="Q55" i="40"/>
  <c r="Q35" i="39"/>
  <c r="P44" i="38"/>
  <c r="Q43" i="40" l="1"/>
  <c r="Q44" i="40" s="1"/>
  <c r="Q30" i="47"/>
  <c r="Q18" i="38"/>
  <c r="R18" i="40" l="1"/>
  <c r="Q16" i="38"/>
  <c r="Q48" i="38"/>
  <c r="R16" i="40" l="1"/>
  <c r="R48" i="40"/>
  <c r="Q29" i="38"/>
  <c r="R29" i="40" l="1"/>
  <c r="Q49" i="38"/>
  <c r="Q22" i="38"/>
  <c r="R22" i="40" l="1"/>
  <c r="R49" i="40"/>
  <c r="Q30" i="38"/>
  <c r="Q34" i="38" s="1"/>
  <c r="Q50" i="38"/>
  <c r="R50" i="40" l="1"/>
  <c r="R30" i="40"/>
  <c r="R34" i="40" s="1"/>
  <c r="Q51" i="38"/>
  <c r="Q36" i="38"/>
  <c r="R36" i="40" l="1"/>
  <c r="R35" i="40"/>
  <c r="R51" i="40"/>
  <c r="Q37" i="38"/>
  <c r="Q52" i="38"/>
  <c r="Q40" i="38"/>
  <c r="R30" i="47" l="1"/>
  <c r="R37" i="40"/>
  <c r="R52" i="40"/>
  <c r="R40" i="40"/>
  <c r="Q53" i="38"/>
  <c r="R39" i="38"/>
  <c r="R25" i="38" s="1"/>
  <c r="Q38" i="38"/>
  <c r="R26" i="38"/>
  <c r="R53" i="40" l="1"/>
  <c r="S39" i="40"/>
  <c r="S25" i="40" s="1"/>
  <c r="R38" i="40"/>
  <c r="S26" i="40"/>
  <c r="Q41" i="38"/>
  <c r="Q54" i="38"/>
  <c r="R27" i="38"/>
  <c r="R21" i="38"/>
  <c r="S27" i="40" l="1"/>
  <c r="S21" i="40"/>
  <c r="R41" i="40"/>
  <c r="R54" i="40"/>
  <c r="Q45" i="38"/>
  <c r="Q42" i="38"/>
  <c r="Q55" i="38"/>
  <c r="R45" i="40" l="1"/>
  <c r="R42" i="40"/>
  <c r="R55" i="40"/>
  <c r="Q43" i="38"/>
  <c r="R43" i="40" l="1"/>
  <c r="R44" i="40" s="1"/>
  <c r="Q44" i="38"/>
  <c r="S18" i="40" l="1"/>
  <c r="R18" i="38"/>
  <c r="S16" i="40" l="1"/>
  <c r="S48" i="40"/>
  <c r="R16" i="38"/>
  <c r="R48" i="38"/>
  <c r="S29" i="40" l="1"/>
  <c r="R29" i="38"/>
  <c r="S49" i="40" l="1"/>
  <c r="S50" i="40" s="1"/>
  <c r="S22" i="40"/>
  <c r="R49" i="38"/>
  <c r="R22" i="38"/>
  <c r="S30" i="40" l="1"/>
  <c r="S34" i="40" s="1"/>
  <c r="S51" i="40"/>
  <c r="R30" i="38"/>
  <c r="R34" i="38" s="1"/>
  <c r="R50" i="38"/>
  <c r="S52" i="40" l="1"/>
  <c r="S53" i="40" s="1"/>
  <c r="S36" i="40"/>
  <c r="S35" i="40"/>
  <c r="R36" i="38"/>
  <c r="R40" i="38" s="1"/>
  <c r="R51" i="38"/>
  <c r="S40" i="40" l="1"/>
  <c r="S41" i="40"/>
  <c r="S45" i="40" s="1"/>
  <c r="S54" i="40"/>
  <c r="S55" i="40" s="1"/>
  <c r="S30" i="47"/>
  <c r="B35" i="40"/>
  <c r="S37" i="40"/>
  <c r="R37" i="38"/>
  <c r="R52" i="38"/>
  <c r="T39" i="40" l="1"/>
  <c r="T25" i="40" s="1"/>
  <c r="S38" i="40"/>
  <c r="T26" i="40"/>
  <c r="S42" i="40"/>
  <c r="R53" i="38"/>
  <c r="S39" i="38"/>
  <c r="S25" i="38" s="1"/>
  <c r="R38" i="38"/>
  <c r="S26" i="38"/>
  <c r="T21" i="40" l="1"/>
  <c r="T27" i="40" s="1"/>
  <c r="S43" i="40"/>
  <c r="S44" i="40" s="1"/>
  <c r="S27" i="38"/>
  <c r="S21" i="38"/>
  <c r="R41" i="38"/>
  <c r="R54" i="38"/>
  <c r="T18" i="40" l="1"/>
  <c r="R45" i="38"/>
  <c r="R42" i="38"/>
  <c r="R55" i="38"/>
  <c r="T16" i="40" l="1"/>
  <c r="T48" i="40"/>
  <c r="R43" i="38"/>
  <c r="T29" i="40" l="1"/>
  <c r="R44" i="38"/>
  <c r="T49" i="40" l="1"/>
  <c r="T50" i="40" s="1"/>
  <c r="T22" i="40"/>
  <c r="S18" i="38"/>
  <c r="T30" i="40" l="1"/>
  <c r="T34" i="40" s="1"/>
  <c r="T51" i="40"/>
  <c r="S16" i="38"/>
  <c r="S29" i="38" s="1"/>
  <c r="S48" i="38"/>
  <c r="B29" i="38" l="1"/>
  <c r="S49" i="38"/>
  <c r="S22" i="38"/>
  <c r="S30" i="38" s="1"/>
  <c r="S34" i="38" s="1"/>
  <c r="T36" i="40"/>
  <c r="T37" i="40" s="1"/>
  <c r="T52" i="40"/>
  <c r="T53" i="40" s="1"/>
  <c r="S50" i="38" l="1"/>
  <c r="S51" i="38" s="1"/>
  <c r="T41" i="40"/>
  <c r="T45" i="40" s="1"/>
  <c r="T54" i="40"/>
  <c r="T55" i="40" s="1"/>
  <c r="T40" i="40"/>
  <c r="T38" i="40"/>
  <c r="U39" i="40"/>
  <c r="U25" i="40" s="1"/>
  <c r="U26" i="40"/>
  <c r="S36" i="38"/>
  <c r="S40" i="38" s="1"/>
  <c r="T42" i="40" l="1"/>
  <c r="T43" i="40" s="1"/>
  <c r="T44" i="40" s="1"/>
  <c r="U21" i="40"/>
  <c r="U27" i="40" s="1"/>
  <c r="S52" i="38"/>
  <c r="S37" i="38"/>
  <c r="U18" i="40" l="1"/>
  <c r="T39" i="38"/>
  <c r="T25" i="38" s="1"/>
  <c r="S38" i="38"/>
  <c r="T26" i="38"/>
  <c r="S53" i="38"/>
  <c r="U16" i="40" l="1"/>
  <c r="U48" i="40"/>
  <c r="S41" i="38"/>
  <c r="S54" i="38"/>
  <c r="T27" i="38"/>
  <c r="T21" i="38"/>
  <c r="U29" i="40" l="1"/>
  <c r="S45" i="38"/>
  <c r="S42" i="38"/>
  <c r="S55" i="38"/>
  <c r="T22" i="38"/>
  <c r="T49" i="38"/>
  <c r="U22" i="40" l="1"/>
  <c r="U49" i="40"/>
  <c r="U50" i="40" s="1"/>
  <c r="S43" i="38"/>
  <c r="U51" i="40" l="1"/>
  <c r="U30" i="40"/>
  <c r="U34" i="40" s="1"/>
  <c r="S44" i="38"/>
  <c r="U36" i="40" l="1"/>
  <c r="U37" i="40" s="1"/>
  <c r="U52" i="40"/>
  <c r="U53" i="40" s="1"/>
  <c r="T18" i="38"/>
  <c r="U41" i="40" l="1"/>
  <c r="U45" i="40" s="1"/>
  <c r="U54" i="40"/>
  <c r="U55" i="40" s="1"/>
  <c r="U40" i="40"/>
  <c r="U38" i="40"/>
  <c r="V39" i="40"/>
  <c r="V25" i="40" s="1"/>
  <c r="V26" i="40"/>
  <c r="T16" i="38"/>
  <c r="T48" i="38"/>
  <c r="U42" i="40" l="1"/>
  <c r="U43" i="40" s="1"/>
  <c r="U44" i="40" s="1"/>
  <c r="V27" i="40"/>
  <c r="V21" i="40"/>
  <c r="T50" i="38"/>
  <c r="T30" i="38"/>
  <c r="T34" i="38" s="1"/>
  <c r="V18" i="40" l="1"/>
  <c r="T36" i="38"/>
  <c r="T40" i="38" s="1"/>
  <c r="T51" i="38"/>
  <c r="V16" i="40" l="1"/>
  <c r="V48" i="40"/>
  <c r="T37" i="38"/>
  <c r="T52" i="38"/>
  <c r="V29" i="40" l="1"/>
  <c r="U39" i="38"/>
  <c r="U25" i="38" s="1"/>
  <c r="T38" i="38"/>
  <c r="U26" i="38"/>
  <c r="T53" i="38"/>
  <c r="V24" i="47" l="1"/>
  <c r="B29" i="40"/>
  <c r="V22" i="40"/>
  <c r="V49" i="40"/>
  <c r="V50" i="40" s="1"/>
  <c r="T41" i="38"/>
  <c r="T54" i="38"/>
  <c r="U27" i="38"/>
  <c r="U21" i="38"/>
  <c r="U22" i="38" l="1"/>
  <c r="V51" i="40"/>
  <c r="V30" i="40"/>
  <c r="V34" i="40" s="1"/>
  <c r="T55" i="38"/>
  <c r="U49" i="38"/>
  <c r="T45" i="38"/>
  <c r="T42" i="38"/>
  <c r="V36" i="40" l="1"/>
  <c r="V37" i="40" s="1"/>
  <c r="V52" i="40"/>
  <c r="V53" i="40" s="1"/>
  <c r="T43" i="38"/>
  <c r="T44" i="38" l="1"/>
  <c r="U18" i="38" s="1"/>
  <c r="V41" i="40"/>
  <c r="V45" i="40" s="1"/>
  <c r="V54" i="40"/>
  <c r="V55" i="40" s="1"/>
  <c r="V40" i="40"/>
  <c r="V38" i="40"/>
  <c r="W25" i="40" s="1"/>
  <c r="W26" i="40"/>
  <c r="V42" i="40" l="1"/>
  <c r="V43" i="40" s="1"/>
  <c r="V44" i="40" s="1"/>
  <c r="W27" i="40"/>
  <c r="W22" i="40" s="1"/>
  <c r="W21" i="40"/>
  <c r="U16" i="38"/>
  <c r="U48" i="38"/>
  <c r="W49" i="40" l="1"/>
  <c r="W18" i="40"/>
  <c r="U50" i="38"/>
  <c r="U30" i="38"/>
  <c r="U34" i="38" s="1"/>
  <c r="W48" i="40" l="1"/>
  <c r="W50" i="40" s="1"/>
  <c r="W16" i="40"/>
  <c r="U51" i="38"/>
  <c r="U36" i="38"/>
  <c r="U40" i="38" s="1"/>
  <c r="W30" i="40" l="1"/>
  <c r="W34" i="40" s="1"/>
  <c r="W51" i="40"/>
  <c r="U52" i="38"/>
  <c r="U37" i="38"/>
  <c r="W52" i="40" l="1"/>
  <c r="W53" i="40" s="1"/>
  <c r="W36" i="40"/>
  <c r="W37" i="40" s="1"/>
  <c r="V39" i="38"/>
  <c r="V25" i="38" s="1"/>
  <c r="U38" i="38"/>
  <c r="V26" i="38"/>
  <c r="U53" i="38"/>
  <c r="W38" i="40" l="1"/>
  <c r="X25" i="40" s="1"/>
  <c r="X26" i="40"/>
  <c r="W40" i="40"/>
  <c r="W41" i="40"/>
  <c r="W45" i="40" s="1"/>
  <c r="W54" i="40"/>
  <c r="W55" i="40" s="1"/>
  <c r="V27" i="38"/>
  <c r="V21" i="38"/>
  <c r="U41" i="38"/>
  <c r="U54" i="38"/>
  <c r="W42" i="40" l="1"/>
  <c r="W43" i="40" s="1"/>
  <c r="W44" i="40" s="1"/>
  <c r="X27" i="40"/>
  <c r="X49" i="40" s="1"/>
  <c r="X21" i="40"/>
  <c r="U55" i="38"/>
  <c r="V49" i="38"/>
  <c r="U45" i="38"/>
  <c r="U42" i="38"/>
  <c r="V22" i="38"/>
  <c r="X22" i="40" l="1"/>
  <c r="X18" i="40"/>
  <c r="U43" i="38"/>
  <c r="X16" i="40" l="1"/>
  <c r="X48" i="40"/>
  <c r="X50" i="40" s="1"/>
  <c r="U44" i="38"/>
  <c r="X51" i="40" l="1"/>
  <c r="X30" i="40"/>
  <c r="X34" i="40" s="1"/>
  <c r="V18" i="38"/>
  <c r="X36" i="40" l="1"/>
  <c r="X37" i="40" s="1"/>
  <c r="X52" i="40"/>
  <c r="X53" i="40" s="1"/>
  <c r="V16" i="38"/>
  <c r="V48" i="38"/>
  <c r="X41" i="40" l="1"/>
  <c r="X45" i="40" s="1"/>
  <c r="X54" i="40"/>
  <c r="X55" i="40" s="1"/>
  <c r="X38" i="40"/>
  <c r="Y25" i="40" s="1"/>
  <c r="Y26" i="40"/>
  <c r="X40" i="40"/>
  <c r="V50" i="38"/>
  <c r="V30" i="38"/>
  <c r="V34" i="38" s="1"/>
  <c r="X42" i="40" l="1"/>
  <c r="X43" i="40" s="1"/>
  <c r="X44" i="40" s="1"/>
  <c r="Y27" i="40"/>
  <c r="Y22" i="40" s="1"/>
  <c r="Y21" i="40"/>
  <c r="V36" i="38"/>
  <c r="V40" i="38" s="1"/>
  <c r="V51" i="38"/>
  <c r="Y18" i="40" l="1"/>
  <c r="Y49" i="40"/>
  <c r="V52" i="38"/>
  <c r="V37" i="38"/>
  <c r="Y48" i="40" l="1"/>
  <c r="Y50" i="40" s="1"/>
  <c r="Y16" i="40"/>
  <c r="V38" i="38"/>
  <c r="W26" i="38"/>
  <c r="V53" i="38"/>
  <c r="Y30" i="40" l="1"/>
  <c r="Y34" i="40" s="1"/>
  <c r="Y51" i="40"/>
  <c r="W27" i="38"/>
  <c r="W21" i="38"/>
  <c r="V41" i="38"/>
  <c r="V54" i="38"/>
  <c r="W25" i="38"/>
  <c r="Y52" i="40" l="1"/>
  <c r="Y53" i="40" s="1"/>
  <c r="Y36" i="40"/>
  <c r="Y37" i="40" s="1"/>
  <c r="V45" i="38"/>
  <c r="V42" i="38"/>
  <c r="W22" i="38"/>
  <c r="W49" i="38"/>
  <c r="V55" i="38"/>
  <c r="Y40" i="40" l="1"/>
  <c r="Y41" i="40"/>
  <c r="Y45" i="40" s="1"/>
  <c r="Y54" i="40"/>
  <c r="Y55" i="40" s="1"/>
  <c r="Y38" i="40"/>
  <c r="Z25" i="40" s="1"/>
  <c r="Z26" i="40"/>
  <c r="V43" i="38"/>
  <c r="Z27" i="40" l="1"/>
  <c r="B27" i="40" s="1"/>
  <c r="B26" i="40"/>
  <c r="Z21" i="40"/>
  <c r="B25" i="40"/>
  <c r="Y42" i="40"/>
  <c r="V44" i="38"/>
  <c r="Z49" i="40" l="1"/>
  <c r="B49" i="40" s="1"/>
  <c r="F33" i="35" s="1"/>
  <c r="Z22" i="40"/>
  <c r="B22" i="40" s="1"/>
  <c r="Y43" i="40"/>
  <c r="Y44" i="40" s="1"/>
  <c r="W18" i="38"/>
  <c r="Z18" i="40" l="1"/>
  <c r="W16" i="38"/>
  <c r="W48" i="38"/>
  <c r="Z16" i="40" l="1"/>
  <c r="Z48" i="40"/>
  <c r="B18" i="40"/>
  <c r="W50" i="38"/>
  <c r="W30" i="38"/>
  <c r="W34" i="38" s="1"/>
  <c r="Z50" i="40" l="1"/>
  <c r="B48" i="40"/>
  <c r="F32" i="35" s="1"/>
  <c r="B16" i="40"/>
  <c r="Z30" i="40"/>
  <c r="Z34" i="40" s="1"/>
  <c r="W36" i="38"/>
  <c r="W51" i="38"/>
  <c r="Z36" i="40" l="1"/>
  <c r="B50" i="40"/>
  <c r="Z51" i="40"/>
  <c r="Z52" i="40" s="1"/>
  <c r="W52" i="38"/>
  <c r="W37" i="38"/>
  <c r="W40" i="38"/>
  <c r="B36" i="40" l="1"/>
  <c r="Z37" i="40"/>
  <c r="Z38" i="40" s="1"/>
  <c r="Z53" i="40"/>
  <c r="B52" i="40"/>
  <c r="Z40" i="40"/>
  <c r="W38" i="38"/>
  <c r="X26" i="38"/>
  <c r="W53" i="38"/>
  <c r="Z41" i="40" l="1"/>
  <c r="Z42" i="40" s="1"/>
  <c r="B53" i="40"/>
  <c r="Z54" i="40"/>
  <c r="X27" i="38"/>
  <c r="X21" i="38"/>
  <c r="X25" i="38"/>
  <c r="W41" i="38"/>
  <c r="W54" i="38"/>
  <c r="Z43" i="40" l="1"/>
  <c r="B43" i="40" s="1"/>
  <c r="B54" i="40"/>
  <c r="Z55" i="40"/>
  <c r="F34" i="35"/>
  <c r="F35" i="35" s="1"/>
  <c r="F36" i="35" s="1"/>
  <c r="B56" i="40"/>
  <c r="B41" i="40"/>
  <c r="Z45" i="40"/>
  <c r="X49" i="38"/>
  <c r="X22" i="38"/>
  <c r="W45" i="38"/>
  <c r="W42" i="38"/>
  <c r="W55" i="38"/>
  <c r="Z44" i="40" l="1"/>
  <c r="B45" i="40"/>
  <c r="B46" i="40"/>
  <c r="F37" i="35" s="1"/>
  <c r="W43" i="38"/>
  <c r="W44" i="38" l="1"/>
  <c r="X18" i="38" l="1"/>
  <c r="X16" i="38" l="1"/>
  <c r="X48" i="38"/>
  <c r="X50" i="38" l="1"/>
  <c r="X30" i="38"/>
  <c r="X34" i="38" s="1"/>
  <c r="X36" i="38" l="1"/>
  <c r="X40" i="38" s="1"/>
  <c r="X51" i="38"/>
  <c r="X52" i="38" l="1"/>
  <c r="X37" i="38"/>
  <c r="X38" i="38" l="1"/>
  <c r="Y26" i="38"/>
  <c r="X53" i="38"/>
  <c r="Y27" i="38" l="1"/>
  <c r="Y21" i="38"/>
  <c r="X41" i="38"/>
  <c r="X54" i="38"/>
  <c r="Y25" i="38"/>
  <c r="X45" i="38" l="1"/>
  <c r="X42" i="38"/>
  <c r="Y49" i="38"/>
  <c r="Y22" i="38"/>
  <c r="X55" i="38"/>
  <c r="X43" i="38" l="1"/>
  <c r="X44" i="38" l="1"/>
  <c r="Y18" i="38" s="1"/>
  <c r="Y16" i="38" l="1"/>
  <c r="Y48" i="38"/>
  <c r="Y30" i="38" l="1"/>
  <c r="Y34" i="38" s="1"/>
  <c r="Y50" i="38"/>
  <c r="Y51" i="38" l="1"/>
  <c r="Y36" i="38"/>
  <c r="Y40" i="38" s="1"/>
  <c r="Y52" i="38" l="1"/>
  <c r="Y37" i="38"/>
  <c r="Y38" i="38" l="1"/>
  <c r="Z26" i="38"/>
  <c r="Y53" i="38"/>
  <c r="Z27" i="38" l="1"/>
  <c r="B26" i="38"/>
  <c r="Z21" i="38"/>
  <c r="Y41" i="38"/>
  <c r="Y54" i="38"/>
  <c r="Z25" i="38"/>
  <c r="Y45" i="38" l="1"/>
  <c r="Y42" i="38"/>
  <c r="B27" i="38"/>
  <c r="Z22" i="38"/>
  <c r="B22" i="38" s="1"/>
  <c r="Z49" i="38"/>
  <c r="B25" i="38"/>
  <c r="Y55" i="38"/>
  <c r="B49" i="38" l="1"/>
  <c r="D33" i="35" s="1"/>
  <c r="Y43" i="38"/>
  <c r="Y44" i="38" l="1"/>
  <c r="Z18" i="38" s="1"/>
  <c r="Z16" i="38" l="1"/>
  <c r="Z48" i="38"/>
  <c r="B18" i="38"/>
  <c r="Z50" i="38" l="1"/>
  <c r="B48" i="38"/>
  <c r="D32" i="35" s="1"/>
  <c r="B16" i="38"/>
  <c r="Z30" i="38"/>
  <c r="Z34" i="38" s="1"/>
  <c r="B50" i="38" l="1"/>
  <c r="Z51" i="38"/>
  <c r="Z52" i="38" s="1"/>
  <c r="Z36" i="38"/>
  <c r="Z53" i="38" l="1"/>
  <c r="B52" i="38"/>
  <c r="B36" i="38"/>
  <c r="Z37" i="38"/>
  <c r="Z40" i="38"/>
  <c r="Z38" i="38" l="1"/>
  <c r="Z41" i="38"/>
  <c r="Z42" i="38" s="1"/>
  <c r="B53" i="38"/>
  <c r="Z54" i="38"/>
  <c r="Z43" i="38" l="1"/>
  <c r="Z44" i="38" s="1"/>
  <c r="B54" i="38"/>
  <c r="Z55" i="38"/>
  <c r="B56" i="38"/>
  <c r="D34" i="35"/>
  <c r="B41" i="38"/>
  <c r="Z45" i="38"/>
  <c r="D35" i="35" l="1"/>
  <c r="B46" i="38"/>
  <c r="D37" i="35" s="1"/>
  <c r="B45" i="38"/>
  <c r="B43" i="38"/>
  <c r="D36" i="35" l="1"/>
  <c r="L19" i="39" l="1"/>
  <c r="L16" i="39" s="1"/>
  <c r="U29" i="39"/>
  <c r="U24" i="47" s="1"/>
  <c r="L14" i="47" l="1"/>
  <c r="B19" i="39"/>
  <c r="L29" i="39"/>
  <c r="L61" i="47" l="1"/>
  <c r="L11" i="47"/>
  <c r="B14" i="47"/>
  <c r="L22" i="39"/>
  <c r="L24" i="47"/>
  <c r="L49" i="39"/>
  <c r="L60" i="47" l="1"/>
  <c r="L75" i="47" s="1"/>
  <c r="B61" i="47"/>
  <c r="L50" i="39"/>
  <c r="L44" i="47"/>
  <c r="L45" i="47" s="1"/>
  <c r="L46" i="47" s="1"/>
  <c r="L17" i="47"/>
  <c r="L30" i="39"/>
  <c r="L34" i="39" s="1"/>
  <c r="L25" i="47" l="1"/>
  <c r="L29" i="47" s="1"/>
  <c r="L35" i="39"/>
  <c r="L36" i="39"/>
  <c r="L31" i="47" s="1"/>
  <c r="L51" i="39"/>
  <c r="L52" i="39" l="1"/>
  <c r="L37" i="39"/>
  <c r="L30" i="47"/>
  <c r="L40" i="39"/>
  <c r="L35" i="47" l="1"/>
  <c r="M39" i="39"/>
  <c r="M25" i="39" s="1"/>
  <c r="M26" i="39"/>
  <c r="L32" i="47"/>
  <c r="L38" i="39"/>
  <c r="L33" i="47" s="1"/>
  <c r="L53" i="39"/>
  <c r="L47" i="47"/>
  <c r="M20" i="47" l="1"/>
  <c r="L41" i="39"/>
  <c r="L48" i="47"/>
  <c r="L54" i="39"/>
  <c r="M27" i="39"/>
  <c r="M22" i="47" s="1"/>
  <c r="M59" i="47" s="1"/>
  <c r="M21" i="47"/>
  <c r="M58" i="47" s="1"/>
  <c r="M21" i="39"/>
  <c r="L36" i="47" l="1"/>
  <c r="L45" i="39"/>
  <c r="L42" i="39"/>
  <c r="L55" i="39"/>
  <c r="L49" i="47"/>
  <c r="M16" i="47"/>
  <c r="L43" i="39" l="1"/>
  <c r="L38" i="47" s="1"/>
  <c r="L56" i="47" s="1"/>
  <c r="L55" i="47" s="1"/>
  <c r="L50" i="47"/>
  <c r="L40" i="47"/>
  <c r="L37" i="47"/>
  <c r="L39" i="47" l="1"/>
  <c r="L44" i="39"/>
  <c r="M18" i="39" s="1"/>
  <c r="L76" i="47"/>
  <c r="L65" i="47"/>
  <c r="L74" i="47"/>
  <c r="L66" i="47" l="1"/>
  <c r="L67" i="47"/>
  <c r="M48" i="39"/>
  <c r="M13" i="47"/>
  <c r="M11" i="47" s="1"/>
  <c r="M16" i="39"/>
  <c r="M43" i="47" l="1"/>
  <c r="L68" i="47"/>
  <c r="M29" i="39"/>
  <c r="L69" i="47"/>
  <c r="L71" i="47" s="1"/>
  <c r="L73" i="47" s="1"/>
  <c r="M57" i="47" l="1"/>
  <c r="M79" i="47" s="1"/>
  <c r="M63" i="47"/>
  <c r="M24" i="47"/>
  <c r="M22" i="39"/>
  <c r="M49" i="39"/>
  <c r="M30" i="39" l="1"/>
  <c r="M34" i="39" s="1"/>
  <c r="M80" i="47"/>
  <c r="M81" i="47" s="1"/>
  <c r="M60" i="47"/>
  <c r="M17" i="47"/>
  <c r="M44" i="47"/>
  <c r="M45" i="47" s="1"/>
  <c r="M46" i="47" s="1"/>
  <c r="M50" i="39"/>
  <c r="M82" i="47" l="1"/>
  <c r="M51" i="39"/>
  <c r="M25" i="47"/>
  <c r="M29" i="47" s="1"/>
  <c r="M35" i="39"/>
  <c r="M40" i="39" s="1"/>
  <c r="M36" i="39"/>
  <c r="M31" i="47" s="1"/>
  <c r="M52" i="39" l="1"/>
  <c r="M30" i="47"/>
  <c r="M35" i="47" s="1"/>
  <c r="M37" i="39"/>
  <c r="M83" i="47"/>
  <c r="M84" i="47" s="1"/>
  <c r="M70" i="47" l="1"/>
  <c r="M75" i="47" s="1"/>
  <c r="M85" i="47"/>
  <c r="M86" i="47" s="1"/>
  <c r="N39" i="39"/>
  <c r="N25" i="39" s="1"/>
  <c r="M38" i="39"/>
  <c r="M33" i="47" s="1"/>
  <c r="M32" i="47"/>
  <c r="N26" i="39"/>
  <c r="M53" i="39"/>
  <c r="M47" i="47"/>
  <c r="N20" i="47" l="1"/>
  <c r="M41" i="39"/>
  <c r="M48" i="47"/>
  <c r="M54" i="39"/>
  <c r="N27" i="39"/>
  <c r="N22" i="47" s="1"/>
  <c r="N59" i="47" s="1"/>
  <c r="N21" i="47"/>
  <c r="N58" i="47" s="1"/>
  <c r="N21" i="39"/>
  <c r="M36" i="47" l="1"/>
  <c r="M45" i="39"/>
  <c r="M42" i="39"/>
  <c r="M49" i="47"/>
  <c r="M55" i="39"/>
  <c r="N16" i="47"/>
  <c r="M43" i="39" l="1"/>
  <c r="M38" i="47" s="1"/>
  <c r="M56" i="47" s="1"/>
  <c r="M55" i="47" s="1"/>
  <c r="M50" i="47"/>
  <c r="M40" i="47"/>
  <c r="M37" i="47"/>
  <c r="M39" i="47" l="1"/>
  <c r="M44" i="39"/>
  <c r="M76" i="47"/>
  <c r="M74" i="47"/>
  <c r="M65" i="47"/>
  <c r="N18" i="39" l="1"/>
  <c r="M66" i="47"/>
  <c r="M67" i="47"/>
  <c r="M68" i="47" l="1"/>
  <c r="N63" i="47" s="1"/>
  <c r="M69" i="47"/>
  <c r="M71" i="47" s="1"/>
  <c r="M73" i="47" s="1"/>
  <c r="N13" i="47"/>
  <c r="N11" i="47" s="1"/>
  <c r="N48" i="39"/>
  <c r="N16" i="39"/>
  <c r="N57" i="47" l="1"/>
  <c r="N79" i="47" s="1"/>
  <c r="N29" i="39"/>
  <c r="N43" i="47"/>
  <c r="N80" i="47"/>
  <c r="N60" i="47"/>
  <c r="N24" i="47" l="1"/>
  <c r="N49" i="39"/>
  <c r="N22" i="39"/>
  <c r="N81" i="47"/>
  <c r="N44" i="47" l="1"/>
  <c r="N45" i="47" s="1"/>
  <c r="N46" i="47" s="1"/>
  <c r="N50" i="39"/>
  <c r="N82" i="47"/>
  <c r="N17" i="47"/>
  <c r="N30" i="39"/>
  <c r="N34" i="39" s="1"/>
  <c r="N35" i="39" l="1"/>
  <c r="N36" i="39"/>
  <c r="N31" i="47" s="1"/>
  <c r="N83" i="47"/>
  <c r="N84" i="47" s="1"/>
  <c r="N25" i="47"/>
  <c r="N29" i="47" s="1"/>
  <c r="N51" i="39"/>
  <c r="N70" i="47" l="1"/>
  <c r="N75" i="47" s="1"/>
  <c r="N85" i="47"/>
  <c r="N86" i="47" s="1"/>
  <c r="N30" i="47"/>
  <c r="N35" i="47" s="1"/>
  <c r="N37" i="39"/>
  <c r="N52" i="39"/>
  <c r="N40" i="39"/>
  <c r="N53" i="39" l="1"/>
  <c r="N47" i="47"/>
  <c r="O39" i="39"/>
  <c r="O25" i="39" s="1"/>
  <c r="N32" i="47"/>
  <c r="N38" i="39"/>
  <c r="N33" i="47" s="1"/>
  <c r="O26" i="39"/>
  <c r="O21" i="47" l="1"/>
  <c r="O27" i="39"/>
  <c r="O21" i="39"/>
  <c r="N41" i="39"/>
  <c r="N48" i="47"/>
  <c r="N54" i="39"/>
  <c r="O20" i="47"/>
  <c r="N49" i="47" l="1"/>
  <c r="N55" i="39"/>
  <c r="O16" i="47"/>
  <c r="O22" i="47"/>
  <c r="N36" i="47"/>
  <c r="N45" i="39"/>
  <c r="N42" i="39"/>
  <c r="O58" i="47"/>
  <c r="N43" i="39" l="1"/>
  <c r="N38" i="47" s="1"/>
  <c r="N56" i="47" s="1"/>
  <c r="N55" i="47" s="1"/>
  <c r="N40" i="47"/>
  <c r="N37" i="47"/>
  <c r="O59" i="47"/>
  <c r="N50" i="47"/>
  <c r="N44" i="39" l="1"/>
  <c r="O18" i="39" s="1"/>
  <c r="N76" i="47"/>
  <c r="N74" i="47"/>
  <c r="N65" i="47"/>
  <c r="N39" i="47"/>
  <c r="O16" i="39" l="1"/>
  <c r="O48" i="39"/>
  <c r="O13" i="47"/>
  <c r="N66" i="47"/>
  <c r="N67" i="47"/>
  <c r="N69" i="47" l="1"/>
  <c r="N71" i="47" s="1"/>
  <c r="N73" i="47" s="1"/>
  <c r="O57" i="47" s="1"/>
  <c r="O79" i="47" s="1"/>
  <c r="O11" i="47"/>
  <c r="O29" i="39"/>
  <c r="O43" i="47"/>
  <c r="N68" i="47"/>
  <c r="O24" i="47" l="1"/>
  <c r="O49" i="39"/>
  <c r="O22" i="39"/>
  <c r="O63" i="47"/>
  <c r="O30" i="39" l="1"/>
  <c r="O34" i="39" s="1"/>
  <c r="O44" i="47"/>
  <c r="O45" i="47" s="1"/>
  <c r="O50" i="39"/>
  <c r="O60" i="47"/>
  <c r="O80" i="47"/>
  <c r="O81" i="47" s="1"/>
  <c r="O17" i="47"/>
  <c r="O82" i="47" l="1"/>
  <c r="O46" i="47"/>
  <c r="O36" i="39"/>
  <c r="O35" i="39"/>
  <c r="O25" i="47"/>
  <c r="O29" i="47" s="1"/>
  <c r="O51" i="39"/>
  <c r="O30" i="47" l="1"/>
  <c r="O37" i="39"/>
  <c r="O83" i="47"/>
  <c r="O84" i="47" s="1"/>
  <c r="O40" i="39"/>
  <c r="O31" i="47"/>
  <c r="O52" i="39"/>
  <c r="O35" i="47" l="1"/>
  <c r="O53" i="39"/>
  <c r="O47" i="47"/>
  <c r="P39" i="39"/>
  <c r="P25" i="39" s="1"/>
  <c r="O32" i="47"/>
  <c r="O38" i="39"/>
  <c r="O33" i="47" s="1"/>
  <c r="P26" i="39"/>
  <c r="O70" i="47"/>
  <c r="O75" i="47" s="1"/>
  <c r="O85" i="47"/>
  <c r="O86" i="47" s="1"/>
  <c r="P20" i="47" l="1"/>
  <c r="P21" i="47"/>
  <c r="P27" i="39"/>
  <c r="P21" i="39"/>
  <c r="O41" i="39"/>
  <c r="O48" i="47"/>
  <c r="O54" i="39"/>
  <c r="O36" i="47" l="1"/>
  <c r="O45" i="39"/>
  <c r="O42" i="39"/>
  <c r="P22" i="47"/>
  <c r="P16" i="47"/>
  <c r="O49" i="47"/>
  <c r="O55" i="39"/>
  <c r="P58" i="47"/>
  <c r="O50" i="47" l="1"/>
  <c r="O40" i="47"/>
  <c r="O37" i="47"/>
  <c r="O43" i="39"/>
  <c r="O44" i="39" s="1"/>
  <c r="P59" i="47"/>
  <c r="P18" i="39" l="1"/>
  <c r="O38" i="47"/>
  <c r="O56" i="47" l="1"/>
  <c r="O39" i="47"/>
  <c r="P16" i="39"/>
  <c r="P48" i="39"/>
  <c r="P13" i="47"/>
  <c r="P29" i="39" l="1"/>
  <c r="P11" i="47"/>
  <c r="P43" i="47"/>
  <c r="O55" i="47"/>
  <c r="P24" i="47" l="1"/>
  <c r="P49" i="39"/>
  <c r="P22" i="39"/>
  <c r="O76" i="47"/>
  <c r="O74" i="47"/>
  <c r="O65" i="47"/>
  <c r="P30" i="39" l="1"/>
  <c r="P34" i="39" s="1"/>
  <c r="O66" i="47"/>
  <c r="O67" i="47"/>
  <c r="P44" i="47"/>
  <c r="P45" i="47" s="1"/>
  <c r="P50" i="39"/>
  <c r="P17" i="47"/>
  <c r="O68" i="47" l="1"/>
  <c r="P63" i="47" s="1"/>
  <c r="P51" i="39"/>
  <c r="P46" i="47"/>
  <c r="P36" i="39"/>
  <c r="P35" i="39"/>
  <c r="P25" i="47"/>
  <c r="P29" i="47" s="1"/>
  <c r="O69" i="47"/>
  <c r="O71" i="47" s="1"/>
  <c r="O73" i="47" s="1"/>
  <c r="P31" i="47" l="1"/>
  <c r="P30" i="47"/>
  <c r="B30" i="47" s="1"/>
  <c r="B35" i="39"/>
  <c r="P37" i="39"/>
  <c r="P57" i="47"/>
  <c r="P40" i="39"/>
  <c r="P52" i="39"/>
  <c r="P60" i="47"/>
  <c r="P80" i="47"/>
  <c r="P35" i="47" l="1"/>
  <c r="P53" i="39"/>
  <c r="P47" i="47"/>
  <c r="P79" i="47"/>
  <c r="Q39" i="39"/>
  <c r="Q25" i="39" s="1"/>
  <c r="P38" i="39"/>
  <c r="P33" i="47" s="1"/>
  <c r="P32" i="47"/>
  <c r="Q26" i="39"/>
  <c r="Q20" i="47" l="1"/>
  <c r="Q21" i="47"/>
  <c r="Q27" i="39"/>
  <c r="Q21" i="39"/>
  <c r="P81" i="47"/>
  <c r="P41" i="39"/>
  <c r="P48" i="47"/>
  <c r="P54" i="39"/>
  <c r="Q16" i="47" l="1"/>
  <c r="P36" i="47"/>
  <c r="P45" i="39"/>
  <c r="P42" i="39"/>
  <c r="P49" i="47"/>
  <c r="P55" i="39"/>
  <c r="Q22" i="47"/>
  <c r="P82" i="47"/>
  <c r="Q58" i="47"/>
  <c r="P83" i="47" l="1"/>
  <c r="P84" i="47" s="1"/>
  <c r="P43" i="39"/>
  <c r="P44" i="39" s="1"/>
  <c r="P50" i="47"/>
  <c r="Q59" i="47"/>
  <c r="P40" i="47"/>
  <c r="P37" i="47"/>
  <c r="Q18" i="39" l="1"/>
  <c r="P38" i="47"/>
  <c r="P39" i="47" s="1"/>
  <c r="P70" i="47"/>
  <c r="P75" i="47" s="1"/>
  <c r="P85" i="47"/>
  <c r="P86" i="47" s="1"/>
  <c r="P56" i="47" l="1"/>
  <c r="Q16" i="39"/>
  <c r="Q48" i="39"/>
  <c r="Q13" i="47"/>
  <c r="P55" i="47" l="1"/>
  <c r="Q11" i="47"/>
  <c r="Q43" i="47"/>
  <c r="Q29" i="39"/>
  <c r="Q24" i="47" l="1"/>
  <c r="Q17" i="47" s="1"/>
  <c r="Q49" i="39"/>
  <c r="Q22" i="39"/>
  <c r="P76" i="47"/>
  <c r="P74" i="47"/>
  <c r="P65" i="47"/>
  <c r="P66" i="47" l="1"/>
  <c r="P67" i="47"/>
  <c r="Q25" i="47"/>
  <c r="Q29" i="47" s="1"/>
  <c r="Q30" i="39"/>
  <c r="Q34" i="39" s="1"/>
  <c r="Q44" i="47"/>
  <c r="Q45" i="47" s="1"/>
  <c r="Q50" i="39"/>
  <c r="P69" i="47" l="1"/>
  <c r="P71" i="47" s="1"/>
  <c r="P73" i="47" s="1"/>
  <c r="Q57" i="47" s="1"/>
  <c r="Q46" i="47"/>
  <c r="P68" i="47"/>
  <c r="Q51" i="39"/>
  <c r="Q36" i="39"/>
  <c r="Q40" i="39" s="1"/>
  <c r="Q52" i="39" l="1"/>
  <c r="Q31" i="47"/>
  <c r="Q35" i="47" s="1"/>
  <c r="Q37" i="39"/>
  <c r="Q63" i="47"/>
  <c r="Q79" i="47"/>
  <c r="Q80" i="47" l="1"/>
  <c r="Q81" i="47" s="1"/>
  <c r="Q60" i="47"/>
  <c r="R39" i="39"/>
  <c r="R25" i="39" s="1"/>
  <c r="Q38" i="39"/>
  <c r="Q33" i="47" s="1"/>
  <c r="Q32" i="47"/>
  <c r="R26" i="39"/>
  <c r="Q53" i="39"/>
  <c r="Q47" i="47"/>
  <c r="R20" i="47" l="1"/>
  <c r="Q41" i="39"/>
  <c r="Q48" i="47"/>
  <c r="Q54" i="39"/>
  <c r="Q82" i="47"/>
  <c r="R21" i="47"/>
  <c r="R21" i="39"/>
  <c r="R27" i="39" s="1"/>
  <c r="R58" i="47" l="1"/>
  <c r="Q49" i="47"/>
  <c r="Q55" i="39"/>
  <c r="R22" i="47"/>
  <c r="R16" i="47"/>
  <c r="Q83" i="47"/>
  <c r="Q84" i="47" s="1"/>
  <c r="Q36" i="47"/>
  <c r="Q45" i="39"/>
  <c r="Q42" i="39"/>
  <c r="Q70" i="47" l="1"/>
  <c r="Q75" i="47" s="1"/>
  <c r="Q85" i="47"/>
  <c r="Q86" i="47" s="1"/>
  <c r="R59" i="47"/>
  <c r="Q40" i="47"/>
  <c r="Q37" i="47"/>
  <c r="Q43" i="39"/>
  <c r="Q50" i="47"/>
  <c r="Q38" i="47" l="1"/>
  <c r="Q39" i="47" s="1"/>
  <c r="Q44" i="39"/>
  <c r="R18" i="39" l="1"/>
  <c r="Q56" i="47"/>
  <c r="R16" i="39" l="1"/>
  <c r="R48" i="39"/>
  <c r="R13" i="47"/>
  <c r="Q55" i="47"/>
  <c r="R11" i="47" l="1"/>
  <c r="R43" i="47"/>
  <c r="Q76" i="47"/>
  <c r="Q74" i="47"/>
  <c r="Q65" i="47"/>
  <c r="R29" i="39"/>
  <c r="R24" i="47" l="1"/>
  <c r="R17" i="47" s="1"/>
  <c r="R25" i="47" s="1"/>
  <c r="R29" i="47" s="1"/>
  <c r="R22" i="39"/>
  <c r="R49" i="39"/>
  <c r="Q66" i="47"/>
  <c r="Q67" i="47"/>
  <c r="Q69" i="47" l="1"/>
  <c r="Q71" i="47" s="1"/>
  <c r="Q73" i="47" s="1"/>
  <c r="R57" i="47" s="1"/>
  <c r="R30" i="39"/>
  <c r="R34" i="39" s="1"/>
  <c r="Q68" i="47"/>
  <c r="R63" i="47" s="1"/>
  <c r="R44" i="47"/>
  <c r="R45" i="47" s="1"/>
  <c r="R50" i="39"/>
  <c r="R60" i="47" l="1"/>
  <c r="R80" i="47"/>
  <c r="R51" i="39"/>
  <c r="R46" i="47"/>
  <c r="R79" i="47"/>
  <c r="B57" i="47"/>
  <c r="R36" i="39"/>
  <c r="R40" i="39" s="1"/>
  <c r="R81" i="47" l="1"/>
  <c r="R31" i="47"/>
  <c r="R35" i="47" s="1"/>
  <c r="R37" i="39"/>
  <c r="R52" i="39"/>
  <c r="R53" i="39" l="1"/>
  <c r="R47" i="47"/>
  <c r="S39" i="39"/>
  <c r="S25" i="39" s="1"/>
  <c r="R38" i="39"/>
  <c r="R33" i="47" s="1"/>
  <c r="R32" i="47"/>
  <c r="S26" i="39"/>
  <c r="R82" i="47"/>
  <c r="S20" i="47" l="1"/>
  <c r="R83" i="47"/>
  <c r="R84" i="47" s="1"/>
  <c r="S21" i="47"/>
  <c r="S27" i="39"/>
  <c r="S21" i="39"/>
  <c r="R41" i="39"/>
  <c r="R48" i="47"/>
  <c r="R54" i="39"/>
  <c r="S22" i="47" l="1"/>
  <c r="S58" i="47"/>
  <c r="R36" i="47"/>
  <c r="R45" i="39"/>
  <c r="R42" i="39"/>
  <c r="R49" i="47"/>
  <c r="R55" i="39"/>
  <c r="S16" i="47"/>
  <c r="R70" i="47"/>
  <c r="R75" i="47" s="1"/>
  <c r="R85" i="47"/>
  <c r="R86" i="47" s="1"/>
  <c r="R43" i="39" l="1"/>
  <c r="R50" i="47"/>
  <c r="R40" i="47"/>
  <c r="R37" i="47"/>
  <c r="S59" i="47"/>
  <c r="S79" i="47" s="1"/>
  <c r="R38" i="47" l="1"/>
  <c r="R44" i="39"/>
  <c r="S18" i="39" l="1"/>
  <c r="R56" i="47"/>
  <c r="R39" i="47"/>
  <c r="R55" i="47" l="1"/>
  <c r="S16" i="39"/>
  <c r="S48" i="39"/>
  <c r="S13" i="47"/>
  <c r="S29" i="39" l="1"/>
  <c r="S11" i="47"/>
  <c r="S43" i="47"/>
  <c r="R76" i="47"/>
  <c r="R74" i="47"/>
  <c r="R65" i="47"/>
  <c r="S24" i="47" l="1"/>
  <c r="S17" i="47" s="1"/>
  <c r="S25" i="47" s="1"/>
  <c r="S29" i="47" s="1"/>
  <c r="S49" i="39"/>
  <c r="S22" i="39"/>
  <c r="R66" i="47"/>
  <c r="R67" i="47"/>
  <c r="R68" i="47" l="1"/>
  <c r="S63" i="47" s="1"/>
  <c r="S30" i="39"/>
  <c r="S34" i="39" s="1"/>
  <c r="S44" i="47"/>
  <c r="S45" i="47" s="1"/>
  <c r="S50" i="39"/>
  <c r="R69" i="47"/>
  <c r="R71" i="47" s="1"/>
  <c r="R73" i="47" s="1"/>
  <c r="S51" i="39" l="1"/>
  <c r="S60" i="47"/>
  <c r="S80" i="47"/>
  <c r="S46" i="47"/>
  <c r="S36" i="39"/>
  <c r="S31" i="47" l="1"/>
  <c r="S35" i="47" s="1"/>
  <c r="S37" i="39"/>
  <c r="S40" i="39"/>
  <c r="S52" i="39"/>
  <c r="S81" i="47"/>
  <c r="S82" i="47" l="1"/>
  <c r="T39" i="39"/>
  <c r="T25" i="39" s="1"/>
  <c r="S38" i="39"/>
  <c r="S33" i="47" s="1"/>
  <c r="S32" i="47"/>
  <c r="T26" i="39"/>
  <c r="S53" i="39"/>
  <c r="S47" i="47"/>
  <c r="T20" i="47" l="1"/>
  <c r="S41" i="39"/>
  <c r="S48" i="47"/>
  <c r="S54" i="39"/>
  <c r="S83" i="47"/>
  <c r="T21" i="47"/>
  <c r="T58" i="47" s="1"/>
  <c r="T21" i="39"/>
  <c r="T27" i="39" s="1"/>
  <c r="T22" i="47" s="1"/>
  <c r="T59" i="47" s="1"/>
  <c r="T79" i="47" s="1"/>
  <c r="T16" i="47" l="1"/>
  <c r="S36" i="47"/>
  <c r="S45" i="39"/>
  <c r="S42" i="39"/>
  <c r="S49" i="47"/>
  <c r="S55" i="39"/>
  <c r="S84" i="47"/>
  <c r="S70" i="47" l="1"/>
  <c r="S85" i="47"/>
  <c r="S40" i="47"/>
  <c r="S37" i="47"/>
  <c r="S43" i="39"/>
  <c r="S44" i="39" s="1"/>
  <c r="S50" i="47"/>
  <c r="T18" i="39" l="1"/>
  <c r="S86" i="47"/>
  <c r="S38" i="47"/>
  <c r="S39" i="47" s="1"/>
  <c r="S75" i="47"/>
  <c r="S56" i="47" l="1"/>
  <c r="T16" i="39"/>
  <c r="T48" i="39"/>
  <c r="T13" i="47"/>
  <c r="T11" i="47" s="1"/>
  <c r="T29" i="39" l="1"/>
  <c r="T43" i="47"/>
  <c r="S55" i="47"/>
  <c r="T24" i="47" l="1"/>
  <c r="B29" i="39"/>
  <c r="T22" i="39"/>
  <c r="T49" i="39"/>
  <c r="S76" i="47"/>
  <c r="S74" i="47"/>
  <c r="S65" i="47"/>
  <c r="T30" i="39" l="1"/>
  <c r="T34" i="39" s="1"/>
  <c r="T44" i="47"/>
  <c r="T45" i="47" s="1"/>
  <c r="T46" i="47" s="1"/>
  <c r="T50" i="39"/>
  <c r="S67" i="47"/>
  <c r="S66" i="47"/>
  <c r="T17" i="47"/>
  <c r="B24" i="47"/>
  <c r="T51" i="39" l="1"/>
  <c r="S68" i="47"/>
  <c r="T63" i="47" s="1"/>
  <c r="T25" i="47"/>
  <c r="T29" i="47" s="1"/>
  <c r="S69" i="47"/>
  <c r="S71" i="47" s="1"/>
  <c r="S73" i="47" s="1"/>
  <c r="T36" i="39"/>
  <c r="T40" i="39" s="1"/>
  <c r="T80" i="47" l="1"/>
  <c r="T60" i="47"/>
  <c r="T52" i="39"/>
  <c r="T31" i="47"/>
  <c r="T35" i="47" s="1"/>
  <c r="T37" i="39"/>
  <c r="T53" i="39" l="1"/>
  <c r="T47" i="47"/>
  <c r="U39" i="39"/>
  <c r="U25" i="39" s="1"/>
  <c r="T38" i="39"/>
  <c r="T33" i="47" s="1"/>
  <c r="T32" i="47"/>
  <c r="U26" i="39"/>
  <c r="T81" i="47"/>
  <c r="T82" i="47" l="1"/>
  <c r="U20" i="47"/>
  <c r="T41" i="39"/>
  <c r="T48" i="47"/>
  <c r="T54" i="39"/>
  <c r="U27" i="39"/>
  <c r="U22" i="47" s="1"/>
  <c r="U59" i="47" s="1"/>
  <c r="U79" i="47" s="1"/>
  <c r="U21" i="47"/>
  <c r="U58" i="47" s="1"/>
  <c r="U21" i="39"/>
  <c r="U22" i="39" l="1"/>
  <c r="U16" i="47"/>
  <c r="T36" i="47"/>
  <c r="T45" i="39"/>
  <c r="T42" i="39"/>
  <c r="T83" i="47"/>
  <c r="U17" i="47"/>
  <c r="T49" i="47"/>
  <c r="T55" i="39"/>
  <c r="U49" i="39"/>
  <c r="U44" i="47" s="1"/>
  <c r="T84" i="47" l="1"/>
  <c r="T40" i="47"/>
  <c r="T37" i="47"/>
  <c r="T50" i="47"/>
  <c r="T43" i="39"/>
  <c r="T38" i="47" s="1"/>
  <c r="T56" i="47" s="1"/>
  <c r="T55" i="47" s="1"/>
  <c r="T44" i="39" l="1"/>
  <c r="U18" i="39" s="1"/>
  <c r="T76" i="47"/>
  <c r="T65" i="47"/>
  <c r="T39" i="47"/>
  <c r="T70" i="47"/>
  <c r="T85" i="47"/>
  <c r="T75" i="47" l="1"/>
  <c r="T67" i="47"/>
  <c r="T66" i="47"/>
  <c r="T74" i="47"/>
  <c r="T86" i="47"/>
  <c r="U16" i="39"/>
  <c r="U48" i="39"/>
  <c r="U13" i="47"/>
  <c r="U11" i="47" s="1"/>
  <c r="T68" i="47" l="1"/>
  <c r="U50" i="39"/>
  <c r="U43" i="47"/>
  <c r="U45" i="47" s="1"/>
  <c r="U46" i="47" s="1"/>
  <c r="U30" i="39"/>
  <c r="U34" i="39" s="1"/>
  <c r="U25" i="47"/>
  <c r="U29" i="47" s="1"/>
  <c r="T69" i="47"/>
  <c r="T71" i="47" s="1"/>
  <c r="T73" i="47" s="1"/>
  <c r="U63" i="47" l="1"/>
  <c r="U51" i="39"/>
  <c r="U36" i="39"/>
  <c r="U40" i="39" s="1"/>
  <c r="U52" i="39" l="1"/>
  <c r="U31" i="47"/>
  <c r="U35" i="47" s="1"/>
  <c r="U37" i="39"/>
  <c r="U60" i="47"/>
  <c r="U80" i="47"/>
  <c r="U81" i="47" l="1"/>
  <c r="U53" i="39"/>
  <c r="U47" i="47"/>
  <c r="V39" i="39"/>
  <c r="V25" i="39" s="1"/>
  <c r="U32" i="47"/>
  <c r="U38" i="39"/>
  <c r="U33" i="47" s="1"/>
  <c r="V26" i="39"/>
  <c r="V20" i="47" l="1"/>
  <c r="U41" i="39"/>
  <c r="U48" i="47"/>
  <c r="U54" i="39"/>
  <c r="U82" i="47"/>
  <c r="V27" i="39"/>
  <c r="V22" i="47" s="1"/>
  <c r="V59" i="47" s="1"/>
  <c r="V79" i="47" s="1"/>
  <c r="V21" i="47"/>
  <c r="V58" i="47" s="1"/>
  <c r="V21" i="39"/>
  <c r="U36" i="47" l="1"/>
  <c r="U45" i="39"/>
  <c r="U42" i="39"/>
  <c r="V17" i="47"/>
  <c r="U49" i="47"/>
  <c r="U55" i="39"/>
  <c r="V22" i="39"/>
  <c r="V16" i="47"/>
  <c r="U83" i="47"/>
  <c r="V49" i="39"/>
  <c r="V44" i="47" s="1"/>
  <c r="U43" i="39" l="1"/>
  <c r="U38" i="47" s="1"/>
  <c r="U56" i="47" s="1"/>
  <c r="U55" i="47" s="1"/>
  <c r="U84" i="47"/>
  <c r="U50" i="47"/>
  <c r="U40" i="47"/>
  <c r="U37" i="47"/>
  <c r="U70" i="47" l="1"/>
  <c r="U74" i="47" s="1"/>
  <c r="U85" i="47"/>
  <c r="U39" i="47"/>
  <c r="U44" i="39"/>
  <c r="U76" i="47"/>
  <c r="U65" i="47"/>
  <c r="U66" i="47" l="1"/>
  <c r="U67" i="47"/>
  <c r="U86" i="47"/>
  <c r="V18" i="39"/>
  <c r="U75" i="47"/>
  <c r="U69" i="47" l="1"/>
  <c r="U71" i="47" s="1"/>
  <c r="U73" i="47" s="1"/>
  <c r="U68" i="47"/>
  <c r="V63" i="47" s="1"/>
  <c r="V16" i="39"/>
  <c r="V48" i="39"/>
  <c r="V13" i="47"/>
  <c r="V11" i="47" s="1"/>
  <c r="V25" i="47" l="1"/>
  <c r="V29" i="47" s="1"/>
  <c r="V30" i="39"/>
  <c r="V34" i="39" s="1"/>
  <c r="V80" i="47"/>
  <c r="V60" i="47"/>
  <c r="V50" i="39"/>
  <c r="V43" i="47"/>
  <c r="V45" i="47" s="1"/>
  <c r="V46" i="47" s="1"/>
  <c r="V51" i="39" l="1"/>
  <c r="V52" i="39" s="1"/>
  <c r="V36" i="39"/>
  <c r="V40" i="39" s="1"/>
  <c r="V81" i="47"/>
  <c r="V31" i="47" l="1"/>
  <c r="V35" i="47" s="1"/>
  <c r="V37" i="39"/>
  <c r="V53" i="39"/>
  <c r="V47" i="47"/>
  <c r="V82" i="47"/>
  <c r="V83" i="47" l="1"/>
  <c r="V41" i="39"/>
  <c r="V48" i="47"/>
  <c r="V54" i="39"/>
  <c r="V38" i="39"/>
  <c r="V32" i="47"/>
  <c r="W26" i="39"/>
  <c r="V36" i="47" l="1"/>
  <c r="V45" i="39"/>
  <c r="V42" i="39"/>
  <c r="W25" i="39"/>
  <c r="V33" i="47"/>
  <c r="W21" i="47"/>
  <c r="W58" i="47" s="1"/>
  <c r="W27" i="39"/>
  <c r="W22" i="47" s="1"/>
  <c r="W59" i="47" s="1"/>
  <c r="W79" i="47" s="1"/>
  <c r="W21" i="39"/>
  <c r="V49" i="47"/>
  <c r="V55" i="39"/>
  <c r="V84" i="47"/>
  <c r="W22" i="39" l="1"/>
  <c r="W49" i="39"/>
  <c r="W44" i="47" s="1"/>
  <c r="W20" i="47"/>
  <c r="W17" i="47" s="1"/>
  <c r="V43" i="39"/>
  <c r="V38" i="47" s="1"/>
  <c r="V56" i="47" s="1"/>
  <c r="V55" i="47" s="1"/>
  <c r="W16" i="47"/>
  <c r="V50" i="47"/>
  <c r="V70" i="47"/>
  <c r="V85" i="47"/>
  <c r="V40" i="47"/>
  <c r="V37" i="47"/>
  <c r="V39" i="47" l="1"/>
  <c r="V76" i="47"/>
  <c r="V74" i="47"/>
  <c r="V65" i="47"/>
  <c r="V75" i="47"/>
  <c r="V86" i="47"/>
  <c r="V44" i="39"/>
  <c r="V67" i="47" l="1"/>
  <c r="V66" i="47"/>
  <c r="W18" i="39"/>
  <c r="V69" i="47" l="1"/>
  <c r="V71" i="47" s="1"/>
  <c r="V73" i="47" s="1"/>
  <c r="V68" i="47"/>
  <c r="W16" i="39"/>
  <c r="W48" i="39"/>
  <c r="W13" i="47"/>
  <c r="W11" i="47" s="1"/>
  <c r="W30" i="39" l="1"/>
  <c r="W34" i="39" s="1"/>
  <c r="W25" i="47"/>
  <c r="W29" i="47" s="1"/>
  <c r="W63" i="47"/>
  <c r="W50" i="39"/>
  <c r="W43" i="47"/>
  <c r="W45" i="47" s="1"/>
  <c r="W46" i="47" s="1"/>
  <c r="W36" i="39" l="1"/>
  <c r="W40" i="39" s="1"/>
  <c r="W51" i="39"/>
  <c r="W60" i="47"/>
  <c r="W80" i="47"/>
  <c r="W81" i="47" l="1"/>
  <c r="W31" i="47"/>
  <c r="W35" i="47" s="1"/>
  <c r="W37" i="39"/>
  <c r="W52" i="39"/>
  <c r="W82" i="47" l="1"/>
  <c r="W53" i="39"/>
  <c r="W47" i="47"/>
  <c r="W38" i="39"/>
  <c r="W32" i="47"/>
  <c r="X26" i="39"/>
  <c r="W83" i="47" l="1"/>
  <c r="X27" i="39"/>
  <c r="X22" i="47" s="1"/>
  <c r="X59" i="47" s="1"/>
  <c r="X79" i="47" s="1"/>
  <c r="X21" i="47"/>
  <c r="X58" i="47" s="1"/>
  <c r="X21" i="39"/>
  <c r="X25" i="39"/>
  <c r="W33" i="47"/>
  <c r="W48" i="47"/>
  <c r="W41" i="39"/>
  <c r="W54" i="39"/>
  <c r="W49" i="47" l="1"/>
  <c r="W55" i="39"/>
  <c r="X49" i="39"/>
  <c r="X44" i="47" s="1"/>
  <c r="X22" i="39"/>
  <c r="X20" i="47"/>
  <c r="X17" i="47" s="1"/>
  <c r="W36" i="47"/>
  <c r="W45" i="39"/>
  <c r="W42" i="39"/>
  <c r="X16" i="47"/>
  <c r="W84" i="47"/>
  <c r="W70" i="47" l="1"/>
  <c r="W85" i="47"/>
  <c r="W43" i="39"/>
  <c r="W38" i="47" s="1"/>
  <c r="W56" i="47" s="1"/>
  <c r="W55" i="47" s="1"/>
  <c r="W40" i="47"/>
  <c r="W37" i="47"/>
  <c r="W50" i="47"/>
  <c r="W74" i="47" l="1"/>
  <c r="W44" i="39"/>
  <c r="X18" i="39" s="1"/>
  <c r="W39" i="47"/>
  <c r="W86" i="47"/>
  <c r="W76" i="47"/>
  <c r="W65" i="47"/>
  <c r="W75" i="47"/>
  <c r="X48" i="39" l="1"/>
  <c r="X13" i="47"/>
  <c r="X11" i="47" s="1"/>
  <c r="X16" i="39"/>
  <c r="W67" i="47"/>
  <c r="W69" i="47" s="1"/>
  <c r="W71" i="47" s="1"/>
  <c r="W73" i="47" s="1"/>
  <c r="W66" i="47"/>
  <c r="X25" i="47" l="1"/>
  <c r="X29" i="47" s="1"/>
  <c r="X30" i="39"/>
  <c r="X34" i="39" s="1"/>
  <c r="W68" i="47"/>
  <c r="X63" i="47" s="1"/>
  <c r="X50" i="39"/>
  <c r="X43" i="47"/>
  <c r="X45" i="47" s="1"/>
  <c r="X46" i="47" s="1"/>
  <c r="X51" i="39" l="1"/>
  <c r="X60" i="47"/>
  <c r="X80" i="47"/>
  <c r="X81" i="47" s="1"/>
  <c r="X36" i="39"/>
  <c r="X40" i="39" s="1"/>
  <c r="X82" i="47" l="1"/>
  <c r="X31" i="47"/>
  <c r="X35" i="47" s="1"/>
  <c r="X37" i="39"/>
  <c r="X52" i="39"/>
  <c r="X83" i="47" l="1"/>
  <c r="X84" i="47" s="1"/>
  <c r="X47" i="47"/>
  <c r="X53" i="39"/>
  <c r="X38" i="39"/>
  <c r="X32" i="47"/>
  <c r="Y26" i="39"/>
  <c r="X70" i="47" l="1"/>
  <c r="X75" i="47" s="1"/>
  <c r="X85" i="47"/>
  <c r="X86" i="47" s="1"/>
  <c r="Y25" i="39"/>
  <c r="X33" i="47"/>
  <c r="Y27" i="39"/>
  <c r="Y22" i="47" s="1"/>
  <c r="Y59" i="47" s="1"/>
  <c r="Y79" i="47" s="1"/>
  <c r="Y21" i="47"/>
  <c r="Y58" i="47" s="1"/>
  <c r="Y21" i="39"/>
  <c r="X48" i="47"/>
  <c r="X41" i="39"/>
  <c r="X54" i="39"/>
  <c r="Y16" i="47" l="1"/>
  <c r="Y49" i="39"/>
  <c r="Y44" i="47" s="1"/>
  <c r="Y22" i="39"/>
  <c r="Y20" i="47"/>
  <c r="Y17" i="47" s="1"/>
  <c r="X49" i="47"/>
  <c r="X55" i="39"/>
  <c r="X36" i="47"/>
  <c r="X45" i="39"/>
  <c r="X42" i="39"/>
  <c r="X43" i="39" s="1"/>
  <c r="X44" i="39" l="1"/>
  <c r="X38" i="47"/>
  <c r="X50" i="47"/>
  <c r="X40" i="47"/>
  <c r="X37" i="47"/>
  <c r="X39" i="47" l="1"/>
  <c r="X56" i="47"/>
  <c r="X55" i="47" s="1"/>
  <c r="X74" i="47" s="1"/>
  <c r="Y18" i="39"/>
  <c r="X76" i="47" l="1"/>
  <c r="X65" i="47"/>
  <c r="Y16" i="39"/>
  <c r="Y13" i="47"/>
  <c r="Y11" i="47" s="1"/>
  <c r="Y25" i="47" s="1"/>
  <c r="Y29" i="47" s="1"/>
  <c r="Y48" i="39"/>
  <c r="Y30" i="39" l="1"/>
  <c r="Y34" i="39" s="1"/>
  <c r="Y50" i="39"/>
  <c r="Y43" i="47"/>
  <c r="Y45" i="47" s="1"/>
  <c r="Y46" i="47" s="1"/>
  <c r="X67" i="47"/>
  <c r="X66" i="47"/>
  <c r="X68" i="47" l="1"/>
  <c r="Y63" i="47" s="1"/>
  <c r="Y36" i="39"/>
  <c r="Y40" i="39" s="1"/>
  <c r="Y51" i="39"/>
  <c r="X69" i="47"/>
  <c r="X71" i="47" s="1"/>
  <c r="X73" i="47" s="1"/>
  <c r="Y60" i="47" l="1"/>
  <c r="Y80" i="47"/>
  <c r="Y81" i="47" s="1"/>
  <c r="Y52" i="39"/>
  <c r="Y31" i="47"/>
  <c r="Y35" i="47" s="1"/>
  <c r="Y37" i="39"/>
  <c r="Y38" i="39" l="1"/>
  <c r="Y32" i="47"/>
  <c r="Z26" i="39"/>
  <c r="Y82" i="47"/>
  <c r="Y47" i="47"/>
  <c r="Y53" i="39"/>
  <c r="Y83" i="47" l="1"/>
  <c r="Y84" i="47" s="1"/>
  <c r="Z25" i="39"/>
  <c r="Y33" i="47"/>
  <c r="Y41" i="39"/>
  <c r="Y48" i="47"/>
  <c r="Y54" i="39"/>
  <c r="Z27" i="39"/>
  <c r="Z21" i="47"/>
  <c r="B26" i="39"/>
  <c r="Z21" i="39"/>
  <c r="Z16" i="47" s="1"/>
  <c r="Z20" i="47" l="1"/>
  <c r="Z22" i="39"/>
  <c r="B22" i="39" s="1"/>
  <c r="Z49" i="39"/>
  <c r="B25" i="39"/>
  <c r="Z22" i="47"/>
  <c r="B27" i="39"/>
  <c r="Y49" i="47"/>
  <c r="Y55" i="39"/>
  <c r="Z58" i="47"/>
  <c r="B58" i="47" s="1"/>
  <c r="B21" i="47"/>
  <c r="Y36" i="47"/>
  <c r="Y45" i="39"/>
  <c r="Y42" i="39"/>
  <c r="Y43" i="39" s="1"/>
  <c r="Y70" i="47"/>
  <c r="Y75" i="47" s="1"/>
  <c r="Y85" i="47"/>
  <c r="Y86" i="47" s="1"/>
  <c r="Y50" i="47" l="1"/>
  <c r="Y40" i="47"/>
  <c r="Y37" i="47"/>
  <c r="Z44" i="47"/>
  <c r="B44" i="47" s="1"/>
  <c r="B49" i="39"/>
  <c r="E33" i="35" s="1"/>
  <c r="B33" i="35" s="1"/>
  <c r="Y44" i="39"/>
  <c r="Y38" i="47"/>
  <c r="Y56" i="47" s="1"/>
  <c r="Y55" i="47" s="1"/>
  <c r="Y74" i="47" s="1"/>
  <c r="Z59" i="47"/>
  <c r="B22" i="47"/>
  <c r="Z17" i="47"/>
  <c r="B17" i="47" s="1"/>
  <c r="B20" i="47"/>
  <c r="Z18" i="39" l="1"/>
  <c r="Z79" i="47"/>
  <c r="B59" i="47"/>
  <c r="Y76" i="47"/>
  <c r="Y65" i="47"/>
  <c r="Y39" i="47"/>
  <c r="Y67" i="47" l="1"/>
  <c r="Y66" i="47"/>
  <c r="B79" i="47"/>
  <c r="Z13" i="47"/>
  <c r="Z16" i="39"/>
  <c r="Z48" i="39"/>
  <c r="B18" i="39"/>
  <c r="Y69" i="47" l="1"/>
  <c r="Y71" i="47" s="1"/>
  <c r="Y73" i="47" s="1"/>
  <c r="Z50" i="39"/>
  <c r="Z43" i="47"/>
  <c r="B48" i="39"/>
  <c r="E32" i="35" s="1"/>
  <c r="Y68" i="47"/>
  <c r="B16" i="39"/>
  <c r="Z30" i="39"/>
  <c r="Z34" i="39" s="1"/>
  <c r="Z36" i="39" s="1"/>
  <c r="Z11" i="47"/>
  <c r="B13" i="47"/>
  <c r="Z40" i="39" l="1"/>
  <c r="Z31" i="47"/>
  <c r="B31" i="47" s="1"/>
  <c r="B36" i="39"/>
  <c r="Z37" i="39"/>
  <c r="Z63" i="47"/>
  <c r="B32" i="35"/>
  <c r="Z45" i="47"/>
  <c r="B43" i="47"/>
  <c r="B11" i="47"/>
  <c r="Z25" i="47"/>
  <c r="Z29" i="47" s="1"/>
  <c r="B50" i="39"/>
  <c r="Z51" i="39"/>
  <c r="Z52" i="39" s="1"/>
  <c r="Z38" i="39" l="1"/>
  <c r="Z33" i="47" s="1"/>
  <c r="Z32" i="47"/>
  <c r="Z47" i="47"/>
  <c r="B47" i="47" s="1"/>
  <c r="Z53" i="39"/>
  <c r="B52" i="39"/>
  <c r="Z35" i="47"/>
  <c r="B45" i="47"/>
  <c r="Z46" i="47"/>
  <c r="Z80" i="47"/>
  <c r="Z60" i="47"/>
  <c r="B63" i="47"/>
  <c r="Z48" i="47" l="1"/>
  <c r="B48" i="47" s="1"/>
  <c r="B51" i="47" s="1"/>
  <c r="Z41" i="39"/>
  <c r="B53" i="39"/>
  <c r="Z54" i="39"/>
  <c r="B60" i="47"/>
  <c r="B80" i="47"/>
  <c r="Z81" i="47"/>
  <c r="Z49" i="47" l="1"/>
  <c r="B49" i="47" s="1"/>
  <c r="B54" i="39"/>
  <c r="Z55" i="39"/>
  <c r="Z50" i="47" s="1"/>
  <c r="Z36" i="47"/>
  <c r="B41" i="39"/>
  <c r="Z45" i="39"/>
  <c r="Z42" i="39"/>
  <c r="E34" i="35"/>
  <c r="B56" i="39"/>
  <c r="B81" i="47"/>
  <c r="Z82" i="47"/>
  <c r="Z83" i="47" s="1"/>
  <c r="Z84" i="47" l="1"/>
  <c r="B83" i="47"/>
  <c r="B87" i="47" s="1"/>
  <c r="B34" i="35"/>
  <c r="E35" i="35"/>
  <c r="B36" i="47"/>
  <c r="Z40" i="47"/>
  <c r="Z37" i="47"/>
  <c r="Z43" i="39"/>
  <c r="B45" i="39"/>
  <c r="B46" i="39"/>
  <c r="E37" i="35" s="1"/>
  <c r="Z38" i="47" l="1"/>
  <c r="Z39" i="47" s="1"/>
  <c r="B43" i="39"/>
  <c r="E36" i="35"/>
  <c r="B35" i="35"/>
  <c r="B36" i="35" s="1"/>
  <c r="B40" i="47"/>
  <c r="B41" i="47"/>
  <c r="B37" i="35" s="1"/>
  <c r="Z44" i="39"/>
  <c r="Z70" i="47"/>
  <c r="B84" i="47"/>
  <c r="Z85" i="47"/>
  <c r="B85" i="47" l="1"/>
  <c r="Z86" i="47"/>
  <c r="B70" i="47"/>
  <c r="B40" i="35" s="1"/>
  <c r="Z75" i="47"/>
  <c r="B75" i="47" s="1"/>
  <c r="Z56" i="47"/>
  <c r="B38" i="47"/>
  <c r="Z55" i="47" l="1"/>
  <c r="Z74" i="47" s="1"/>
  <c r="B77" i="47" s="1"/>
  <c r="B56" i="47"/>
  <c r="Z76" i="47" l="1"/>
  <c r="B76" i="47" s="1"/>
  <c r="B55" i="47"/>
  <c r="B39" i="35" s="1"/>
  <c r="B42" i="35" s="1"/>
  <c r="B43" i="35" s="1"/>
  <c r="Z65" i="47"/>
  <c r="Z66" i="47" l="1"/>
  <c r="Z67" i="47"/>
  <c r="B67" i="47" s="1"/>
  <c r="B44" i="35"/>
  <c r="B74" i="47"/>
  <c r="B66" i="47" l="1"/>
  <c r="Z68" i="47"/>
  <c r="Z69" i="47"/>
  <c r="Z71" i="47" s="1"/>
  <c r="Z73" i="47" s="1"/>
</calcChain>
</file>

<file path=xl/sharedStrings.xml><?xml version="1.0" encoding="utf-8"?>
<sst xmlns="http://schemas.openxmlformats.org/spreadsheetml/2006/main" count="1190" uniqueCount="165">
  <si>
    <t>Итоговый баланс</t>
  </si>
  <si>
    <t>Всего</t>
  </si>
  <si>
    <t>Привлечение кредита</t>
  </si>
  <si>
    <t>Погашение кредита</t>
  </si>
  <si>
    <t>Долг по кредиту</t>
  </si>
  <si>
    <t>Налог на прибыль</t>
  </si>
  <si>
    <t>Себестоимость</t>
  </si>
  <si>
    <t>Валовая прибыль/убыток</t>
  </si>
  <si>
    <t>Нарастающим</t>
  </si>
  <si>
    <t>База для налога на прибыль</t>
  </si>
  <si>
    <t>Текущий налог</t>
  </si>
  <si>
    <t>Чистая прибыль</t>
  </si>
  <si>
    <t>Поступления</t>
  </si>
  <si>
    <t>Выплаты</t>
  </si>
  <si>
    <t>Площадь участка, Га</t>
  </si>
  <si>
    <t>1 кв</t>
  </si>
  <si>
    <t>2 кв</t>
  </si>
  <si>
    <t>3 кв</t>
  </si>
  <si>
    <t>4 кв</t>
  </si>
  <si>
    <t>С</t>
  </si>
  <si>
    <t>Взносы учредителей</t>
  </si>
  <si>
    <t>Займы учредителей</t>
  </si>
  <si>
    <t>Долг по займам</t>
  </si>
  <si>
    <t>Строительство</t>
  </si>
  <si>
    <t>Погашение займов учредителей</t>
  </si>
  <si>
    <t>Уплата процентов по займам</t>
  </si>
  <si>
    <t>Возврат с эскроу</t>
  </si>
  <si>
    <t>Уточненный пром баланс</t>
  </si>
  <si>
    <t>в т ч не покрытый эскроу</t>
  </si>
  <si>
    <t>Баланс до дивидендов</t>
  </si>
  <si>
    <t>Выплата дивидендов</t>
  </si>
  <si>
    <t>Финальный баланс</t>
  </si>
  <si>
    <t>Потоки</t>
  </si>
  <si>
    <t>Дивиденды</t>
  </si>
  <si>
    <t>Погашение займов</t>
  </si>
  <si>
    <t>Проценты по займам</t>
  </si>
  <si>
    <t>Предоставление займов</t>
  </si>
  <si>
    <t>Расходы</t>
  </si>
  <si>
    <t>Доходы</t>
  </si>
  <si>
    <t>Проценты на остатки дс</t>
  </si>
  <si>
    <t>Проценты по остаткам</t>
  </si>
  <si>
    <t>Промежуточный баланс</t>
  </si>
  <si>
    <t>Привлечение кредита банка</t>
  </si>
  <si>
    <t>Погашение кредита банка</t>
  </si>
  <si>
    <t>Продажи квартир в рынок</t>
  </si>
  <si>
    <t>Цены рынок</t>
  </si>
  <si>
    <t>Уплата процентов по кредиту</t>
  </si>
  <si>
    <t>Затраты</t>
  </si>
  <si>
    <t>Площадь квартир в рынок (коэф 1,5)</t>
  </si>
  <si>
    <t>Займами (доля)</t>
  </si>
  <si>
    <t>Доходность (IRR)</t>
  </si>
  <si>
    <t>Выручка (налоговый учет)</t>
  </si>
  <si>
    <t>Этапы (С - стройка, Э - экспл-ция)</t>
  </si>
  <si>
    <t>Э</t>
  </si>
  <si>
    <t>У</t>
  </si>
  <si>
    <t>Р</t>
  </si>
  <si>
    <t>Стоимость строительства</t>
  </si>
  <si>
    <t>Исходные данные</t>
  </si>
  <si>
    <t>Свод</t>
  </si>
  <si>
    <t>Модель застройщика</t>
  </si>
  <si>
    <t>Модель застройщиков</t>
  </si>
  <si>
    <t>Блокировка на эскроу</t>
  </si>
  <si>
    <t>Баланс эскроу</t>
  </si>
  <si>
    <t>По кредитам застройщику базовая</t>
  </si>
  <si>
    <t>По займам учредителя застройщику</t>
  </si>
  <si>
    <t>Показатель</t>
  </si>
  <si>
    <t>Значение</t>
  </si>
  <si>
    <t>Площадь ЗУ (всего), Га</t>
  </si>
  <si>
    <t>Доля площадей квартир Инвестора, передаваемых Фонду, %</t>
  </si>
  <si>
    <t>Площадь квартир, передаваемых Инвестором Фонду, м2</t>
  </si>
  <si>
    <t>Месяц расчетов</t>
  </si>
  <si>
    <t>Финансовая модель реализации проектов строительства Инвестором. Свод этапов.</t>
  </si>
  <si>
    <t>Рентабельность</t>
  </si>
  <si>
    <t>Доходность IRR</t>
  </si>
  <si>
    <t>Оптимальная площадь жилья в расчете на 1 Га ЗУ, м2</t>
  </si>
  <si>
    <t>Вспомогательная расчетная таблица денежных потоков</t>
  </si>
  <si>
    <t>Приведенная стоимость доходов Фонда (NPV) (всего), млн руб.</t>
  </si>
  <si>
    <t>в т.ч. в расчете на 1 Га, млн руб.</t>
  </si>
  <si>
    <t>Баланс результатов Финансовой модели Инвестора</t>
  </si>
  <si>
    <t>Площадь квартир в рынок (коэф. 1,5)</t>
  </si>
  <si>
    <t>По кредитам застройщику минимальная (эскроу)</t>
  </si>
  <si>
    <t>Взносы в УК застройщиков</t>
  </si>
  <si>
    <t>Цены рынок (т.р./кв/м)</t>
  </si>
  <si>
    <t>Источник (У -учред.; Р - рынок)</t>
  </si>
  <si>
    <t>Исходные данные и результаты реализации проектов</t>
  </si>
  <si>
    <t>Застройщики</t>
  </si>
  <si>
    <t>Учредитель (Инвестор)</t>
  </si>
  <si>
    <t>Этап 1</t>
  </si>
  <si>
    <t>Финансовая модель реализации проектов строительства жилья специализированным застройщиком</t>
  </si>
  <si>
    <t>Этап 2</t>
  </si>
  <si>
    <t>Площадь ЗУ1 (для проектов Фонда), Га</t>
  </si>
  <si>
    <t>Площадь ЗУ2 (для проектов Инвестора), Га</t>
  </si>
  <si>
    <t>Примечание</t>
  </si>
  <si>
    <t>Реализуется Фондом</t>
  </si>
  <si>
    <t>Реализуется Инвестором</t>
  </si>
  <si>
    <t>Средняя этажность 10</t>
  </si>
  <si>
    <t>Площадь жилья на ЗУ2 (Инвестор), м2</t>
  </si>
  <si>
    <t>При заданной этажности</t>
  </si>
  <si>
    <t>Ожидаемый доход Фонда от продажи квартир, млн руб.</t>
  </si>
  <si>
    <t>Номинальная стоимость доходов Фонда от реализации переданных Инвестором квартир (всего), млн руб.</t>
  </si>
  <si>
    <t>в т.ч. в расчете на 1 Га переданного Инвестору ЗУ2, млн руб.</t>
  </si>
  <si>
    <t>Модельный механизм расчетов с Фондом за участие в инвестиционном проекте</t>
  </si>
  <si>
    <t>По завершению строительства</t>
  </si>
  <si>
    <t>Прогноз на период реализации квартир Фондом</t>
  </si>
  <si>
    <t>После торгов и заключения договора</t>
  </si>
  <si>
    <t>Модель Инвестора</t>
  </si>
  <si>
    <t>График поступлений (номинальный), млн руб.</t>
  </si>
  <si>
    <t>График поступлений (дисконтированный), млн руб.</t>
  </si>
  <si>
    <t>Средняя на период расчетов согласно пункту 5.15.12 Положения об отборе Инвестора</t>
  </si>
  <si>
    <t>Согласно пункту 5.15.4 Положения об отборе Инвестора</t>
  </si>
  <si>
    <t>Из расчета не более 500 кв.м. квартир в месяц согласно пункту 5.15.6 Положения об отборе Инвестора</t>
  </si>
  <si>
    <t>По кредитам учредителю застройщика</t>
  </si>
  <si>
    <t>Этап 3</t>
  </si>
  <si>
    <t>Этап 4</t>
  </si>
  <si>
    <t>то же округленно</t>
  </si>
  <si>
    <t>Передача Фонду квартир в проектах Инвестора на ЗУ2 для последующей продажи Фондом в 2022-2023 гг.</t>
  </si>
  <si>
    <t>Срок передачи прав на участие в проекте на ЗУ2 Инвестору (ожидаемый)</t>
  </si>
  <si>
    <t>Срок начала расчетов Инвестора с Фондом квартирами в домах на ЗУ2</t>
  </si>
  <si>
    <t>Месяц начала реализации Фондом квартир в домах на ЗУ2</t>
  </si>
  <si>
    <t>Срок реализации Фондом квартир в домах на ЗУ2, мес.</t>
  </si>
  <si>
    <t>Покупка прав на участие в проекте на ЗУ2</t>
  </si>
  <si>
    <t>Бюджет строительства</t>
  </si>
  <si>
    <t>Месяц завершения реализации Фондом  квартир в домах на ЗУ2</t>
  </si>
  <si>
    <t>Принимаемая Фондом ставка дисконтирования доходов от реализации квартир с учетом стоимости денег и принимаемых рисков на Инвестора, % годовых</t>
  </si>
  <si>
    <t>Ставка по кредиту</t>
  </si>
  <si>
    <t>Комиссия за выдачу кредита</t>
  </si>
  <si>
    <t>Банковское сопровождение</t>
  </si>
  <si>
    <t>Комиссия за банковское сопровождение</t>
  </si>
  <si>
    <t>По остаткам на счетах (депозитам)</t>
  </si>
  <si>
    <t>Расчет-обоснование начального предложения Претендентов об условиях исполнения Договора участия в инвестиционном проекте</t>
  </si>
  <si>
    <t>Согласно пункту 5.14 Положения об отборе Инвестора</t>
  </si>
  <si>
    <t>годовых</t>
  </si>
  <si>
    <t>Темп роста цен на строящееся жилье</t>
  </si>
  <si>
    <t xml:space="preserve"> в т ч покупка прав на участие в проекте</t>
  </si>
  <si>
    <t>Премия за риск</t>
  </si>
  <si>
    <t>Прогноз цен на период реализации квартир Фондом</t>
  </si>
  <si>
    <t>Год</t>
  </si>
  <si>
    <t>Итоговая ставка</t>
  </si>
  <si>
    <t>Обоснование ставки дисконтирования</t>
  </si>
  <si>
    <t>Ставка Фонда по кредиту</t>
  </si>
  <si>
    <t>Финансирование учредителем займами (доля, опционально)</t>
  </si>
  <si>
    <t>Этап 1*</t>
  </si>
  <si>
    <t>* - разделение застройки на этапы условное</t>
  </si>
  <si>
    <t>Коммерческие расходы (содержание, агентские, маркетинг и пр)</t>
  </si>
  <si>
    <t>Стоимость строительства (ПИР, СМР, ТУ) средняя (т.р. / кв.м.)</t>
  </si>
  <si>
    <t>Коммерческие расходы</t>
  </si>
  <si>
    <t>бюджета строительства</t>
  </si>
  <si>
    <t>суммы кредита</t>
  </si>
  <si>
    <t>Темп роста цен на готовое жилье и роста стоимости строительства</t>
  </si>
  <si>
    <t>Вложения в СМР до банка</t>
  </si>
  <si>
    <t>Вложения в СМР до банка (проектное финансирование)</t>
  </si>
  <si>
    <t>Бюджет СМР (без земли)</t>
  </si>
  <si>
    <t xml:space="preserve">Доходность (IRR) </t>
  </si>
  <si>
    <t>Ожидаемый срок завершения строительства первого проекта на ЗУ2</t>
  </si>
  <si>
    <t>Доля собственных вложений Застройщика (Инвестора) в СМР до кредитования банком**</t>
  </si>
  <si>
    <t>** - все этапы застраивает Инвестор (кредитования нет)</t>
  </si>
  <si>
    <t>Вариант Базовый. Строительство и передача жилья на ЗУ2 в первом доме (Этап 1)</t>
  </si>
  <si>
    <t>Вариант Альтернативный. Выкуп права участия в проекте сразу за д/с</t>
  </si>
  <si>
    <t>Прощадь продаж</t>
  </si>
  <si>
    <t>Ставки и индексы (оценки и допущения)</t>
  </si>
  <si>
    <t>Участки КН 39:15:131913:536 и 39:15:131913:537 (далее - ЗУ№2)</t>
  </si>
  <si>
    <t>Минимальный (начальный) размер предложения об условиях исполнения Договора участия в инвестиционном проекте (приведенная стоимость денежных потоков) по Заявке Претендента (Участника), млн руб. ОКРУГЛЕННО</t>
  </si>
  <si>
    <t>** - Этап 1 - для расчетов с Фондом (кредитования нет)</t>
  </si>
  <si>
    <t>Передача Фонду квартир в проектах Инвестора на ЗУ2 для последующей продажи Фондом в 2022 г.</t>
  </si>
  <si>
    <t>Средняя ожидаемая цена продажи квартир в период 2022 г., руб./м2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</si>
</sst>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\ _₽_-;\-* #,##0\ _₽_-;_-* &quot;-&quot;??\ _₽_-;_-@_-"/>
    <numFmt numFmtId="165" formatCode="#,##0.000"/>
    <numFmt numFmtId="166" formatCode="0.0%"/>
    <numFmt numFmtId="167" formatCode="_-* #,##0.0000\ _₽_-;\-* #,##0.0000\ _₽_-;_-* &quot;-&quot;??\ _₽_-;_-@_-"/>
    <numFmt numFmtId="168" formatCode="0_ ;\-0\ "/>
    <numFmt numFmtId="169" formatCode="0.000%"/>
    <numFmt numFmtId="170" formatCode="0.0"/>
    <numFmt numFmtId="171" formatCode="[$-419]mmmm\ yyyy;@"/>
    <numFmt numFmtId="172" formatCode="0.0000"/>
    <numFmt numFmtId="173" formatCode="0.000"/>
    <numFmt numFmtId="174" formatCode="#,##0.0000"/>
    <numFmt numFmtId="175" formatCode="#,##0.0"/>
    <numFmt numFmtId="176" formatCode="0.0000%"/>
    <numFmt numFmtId="177" formatCode="_-* #,##0.000\ _₽_-;\-* #,##0.000\ _₽_-;_-* &quot;-&quot;??\ _₽_-;_-@_-"/>
  </numFmts>
  <fonts count="22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0" fillId="0" borderId="1" xfId="0" applyBorder="1"/>
    <xf numFmtId="3" fontId="0" fillId="0" borderId="0" xfId="0" applyNumberFormat="1"/>
    <xf numFmtId="3" fontId="0" fillId="0" borderId="1" xfId="1" applyNumberFormat="1" applyFont="1" applyBorder="1" applyAlignment="1">
      <alignment horizontal="center" vertical="center"/>
    </xf>
    <xf numFmtId="3" fontId="0" fillId="0" borderId="0" xfId="1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3" fillId="0" borderId="1" xfId="0" applyFont="1" applyBorder="1"/>
    <xf numFmtId="43" fontId="3" fillId="0" borderId="1" xfId="1" applyFont="1" applyBorder="1" applyAlignment="1">
      <alignment horizontal="center" vertical="center"/>
    </xf>
    <xf numFmtId="43" fontId="0" fillId="0" borderId="0" xfId="1" applyFont="1"/>
    <xf numFmtId="164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indent="1"/>
    </xf>
    <xf numFmtId="3" fontId="1" fillId="0" borderId="1" xfId="1" applyNumberFormat="1" applyFont="1" applyBorder="1" applyAlignment="1">
      <alignment horizontal="center" vertical="center"/>
    </xf>
    <xf numFmtId="0" fontId="0" fillId="0" borderId="0" xfId="0" applyFont="1"/>
    <xf numFmtId="10" fontId="3" fillId="0" borderId="1" xfId="2" applyNumberFormat="1" applyFont="1" applyBorder="1" applyAlignment="1">
      <alignment horizontal="center" vertical="center"/>
    </xf>
    <xf numFmtId="43" fontId="0" fillId="0" borderId="1" xfId="1" applyFont="1" applyBorder="1"/>
    <xf numFmtId="0" fontId="3" fillId="0" borderId="0" xfId="0" applyFont="1" applyBorder="1"/>
    <xf numFmtId="169" fontId="3" fillId="0" borderId="0" xfId="2" applyNumberFormat="1" applyFont="1" applyBorder="1" applyAlignment="1">
      <alignment horizontal="center" vertical="center"/>
    </xf>
    <xf numFmtId="43" fontId="0" fillId="0" borderId="0" xfId="1" applyFont="1" applyBorder="1"/>
    <xf numFmtId="0" fontId="0" fillId="0" borderId="0" xfId="0" applyBorder="1"/>
    <xf numFmtId="169" fontId="3" fillId="0" borderId="1" xfId="2" applyNumberFormat="1" applyFont="1" applyBorder="1" applyAlignment="1">
      <alignment horizontal="center" vertical="center"/>
    </xf>
    <xf numFmtId="10" fontId="0" fillId="0" borderId="0" xfId="2" applyNumberFormat="1" applyFont="1"/>
    <xf numFmtId="166" fontId="3" fillId="0" borderId="0" xfId="2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left" indent="2"/>
    </xf>
    <xf numFmtId="167" fontId="0" fillId="0" borderId="0" xfId="1" applyNumberFormat="1" applyFont="1" applyAlignment="1">
      <alignment horizontal="center" vertical="center"/>
    </xf>
    <xf numFmtId="43" fontId="3" fillId="0" borderId="0" xfId="1" applyFont="1"/>
    <xf numFmtId="166" fontId="4" fillId="0" borderId="1" xfId="2" applyNumberFormat="1" applyFont="1" applyBorder="1" applyAlignment="1">
      <alignment horizontal="center" vertical="center"/>
    </xf>
    <xf numFmtId="0" fontId="6" fillId="0" borderId="0" xfId="0" applyFont="1"/>
    <xf numFmtId="43" fontId="5" fillId="0" borderId="1" xfId="1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indent="1"/>
    </xf>
    <xf numFmtId="164" fontId="0" fillId="0" borderId="1" xfId="1" applyNumberFormat="1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0" xfId="0" applyFont="1" applyFill="1"/>
    <xf numFmtId="0" fontId="2" fillId="3" borderId="1" xfId="0" applyFont="1" applyFill="1" applyBorder="1"/>
    <xf numFmtId="43" fontId="2" fillId="3" borderId="1" xfId="1" applyFont="1" applyFill="1" applyBorder="1" applyAlignment="1">
      <alignment horizontal="center" vertical="center"/>
    </xf>
    <xf numFmtId="0" fontId="2" fillId="3" borderId="0" xfId="0" applyFont="1" applyFill="1"/>
    <xf numFmtId="164" fontId="3" fillId="4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0" fillId="0" borderId="0" xfId="0" applyFill="1"/>
    <xf numFmtId="43" fontId="5" fillId="0" borderId="1" xfId="1" applyNumberFormat="1" applyFont="1" applyBorder="1" applyAlignment="1">
      <alignment horizontal="center" vertical="center"/>
    </xf>
    <xf numFmtId="164" fontId="0" fillId="0" borderId="0" xfId="0" applyNumberFormat="1"/>
    <xf numFmtId="43" fontId="0" fillId="0" borderId="0" xfId="1" applyFont="1" applyFill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43" fontId="0" fillId="0" borderId="1" xfId="1" applyNumberFormat="1" applyFont="1" applyFill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" vertical="center"/>
    </xf>
    <xf numFmtId="3" fontId="0" fillId="0" borderId="0" xfId="1" applyNumberFormat="1" applyFont="1" applyBorder="1"/>
    <xf numFmtId="3" fontId="0" fillId="0" borderId="0" xfId="0" applyNumberFormat="1" applyBorder="1"/>
    <xf numFmtId="0" fontId="7" fillId="0" borderId="0" xfId="0" applyFont="1"/>
    <xf numFmtId="0" fontId="0" fillId="0" borderId="1" xfId="0" applyFill="1" applyBorder="1"/>
    <xf numFmtId="0" fontId="8" fillId="3" borderId="1" xfId="0" applyFont="1" applyFill="1" applyBorder="1"/>
    <xf numFmtId="43" fontId="8" fillId="3" borderId="1" xfId="1" applyFont="1" applyFill="1" applyBorder="1" applyAlignment="1">
      <alignment horizontal="center" vertical="center"/>
    </xf>
    <xf numFmtId="0" fontId="9" fillId="0" borderId="0" xfId="0" applyFont="1"/>
    <xf numFmtId="0" fontId="8" fillId="3" borderId="0" xfId="0" applyFont="1" applyFill="1"/>
    <xf numFmtId="3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indent="3"/>
    </xf>
    <xf numFmtId="9" fontId="3" fillId="0" borderId="0" xfId="2" applyNumberFormat="1" applyFont="1" applyBorder="1" applyAlignment="1">
      <alignment horizontal="center" vertical="center"/>
    </xf>
    <xf numFmtId="43" fontId="0" fillId="0" borderId="0" xfId="1" applyFont="1" applyFill="1" applyBorder="1"/>
    <xf numFmtId="43" fontId="0" fillId="0" borderId="0" xfId="1" applyFont="1" applyFill="1"/>
    <xf numFmtId="0" fontId="0" fillId="0" borderId="2" xfId="0" applyFill="1" applyBorder="1"/>
    <xf numFmtId="164" fontId="0" fillId="0" borderId="2" xfId="1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6" fontId="0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6" fontId="0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64" fontId="0" fillId="0" borderId="0" xfId="1" applyNumberFormat="1" applyFont="1" applyFill="1" applyBorder="1" applyAlignment="1">
      <alignment horizontal="center" vertical="center" wrapText="1"/>
    </xf>
    <xf numFmtId="166" fontId="0" fillId="0" borderId="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11" fillId="0" borderId="0" xfId="0" applyFont="1" applyAlignment="1">
      <alignment wrapText="1"/>
    </xf>
    <xf numFmtId="166" fontId="4" fillId="0" borderId="1" xfId="2" applyNumberFormat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10" fontId="0" fillId="0" borderId="0" xfId="2" applyNumberFormat="1" applyFont="1" applyFill="1"/>
    <xf numFmtId="169" fontId="0" fillId="0" borderId="0" xfId="2" applyNumberFormat="1" applyFont="1" applyFill="1"/>
    <xf numFmtId="10" fontId="12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0" fontId="11" fillId="0" borderId="0" xfId="0" applyNumberFormat="1" applyFont="1"/>
    <xf numFmtId="10" fontId="11" fillId="0" borderId="0" xfId="2" applyNumberFormat="1" applyFont="1"/>
    <xf numFmtId="171" fontId="11" fillId="0" borderId="1" xfId="0" applyNumberFormat="1" applyFont="1" applyBorder="1" applyAlignment="1">
      <alignment horizontal="center" vertical="center"/>
    </xf>
    <xf numFmtId="43" fontId="11" fillId="0" borderId="0" xfId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0" fillId="0" borderId="1" xfId="1" applyNumberFormat="1" applyFont="1" applyBorder="1" applyAlignment="1">
      <alignment horizontal="center" vertical="center" wrapText="1"/>
    </xf>
    <xf numFmtId="3" fontId="0" fillId="0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74" fontId="0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0" fontId="3" fillId="0" borderId="1" xfId="2" applyNumberFormat="1" applyFont="1" applyFill="1" applyBorder="1" applyAlignment="1">
      <alignment horizontal="center" vertical="center"/>
    </xf>
    <xf numFmtId="171" fontId="11" fillId="0" borderId="1" xfId="0" applyNumberFormat="1" applyFont="1" applyBorder="1" applyAlignment="1">
      <alignment horizontal="left" vertical="center"/>
    </xf>
    <xf numFmtId="4" fontId="0" fillId="0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Border="1"/>
    <xf numFmtId="10" fontId="4" fillId="0" borderId="1" xfId="2" applyNumberFormat="1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 wrapText="1"/>
    </xf>
    <xf numFmtId="10" fontId="0" fillId="2" borderId="1" xfId="2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/>
    </xf>
    <xf numFmtId="0" fontId="0" fillId="0" borderId="1" xfId="0" applyBorder="1" applyAlignment="1">
      <alignment horizontal="left" wrapText="1" indent="1"/>
    </xf>
    <xf numFmtId="165" fontId="11" fillId="0" borderId="0" xfId="0" applyNumberFormat="1" applyFont="1" applyAlignment="1">
      <alignment horizontal="center" vertical="center"/>
    </xf>
    <xf numFmtId="173" fontId="7" fillId="0" borderId="0" xfId="0" applyNumberFormat="1" applyFont="1" applyBorder="1" applyAlignment="1">
      <alignment horizontal="center" vertical="center"/>
    </xf>
    <xf numFmtId="175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0" fontId="0" fillId="0" borderId="0" xfId="2" applyNumberFormat="1" applyFont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43" fontId="0" fillId="0" borderId="1" xfId="1" applyFont="1" applyBorder="1" applyAlignment="1">
      <alignment wrapText="1"/>
    </xf>
    <xf numFmtId="43" fontId="3" fillId="0" borderId="1" xfId="1" applyFont="1" applyBorder="1" applyAlignment="1">
      <alignment wrapText="1"/>
    </xf>
    <xf numFmtId="43" fontId="4" fillId="0" borderId="1" xfId="1" applyFont="1" applyBorder="1" applyAlignment="1">
      <alignment wrapText="1"/>
    </xf>
    <xf numFmtId="43" fontId="0" fillId="0" borderId="1" xfId="1" applyFont="1" applyBorder="1" applyAlignment="1">
      <alignment horizontal="left" wrapText="1" indent="1"/>
    </xf>
    <xf numFmtId="43" fontId="17" fillId="0" borderId="1" xfId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2"/>
    </xf>
    <xf numFmtId="165" fontId="1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43" fontId="18" fillId="0" borderId="1" xfId="1" applyFont="1" applyFill="1" applyBorder="1" applyAlignment="1">
      <alignment horizontal="center" vertical="center"/>
    </xf>
    <xf numFmtId="10" fontId="16" fillId="0" borderId="0" xfId="0" applyNumberFormat="1" applyFont="1"/>
    <xf numFmtId="176" fontId="19" fillId="0" borderId="0" xfId="2" applyNumberFormat="1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/>
    </xf>
    <xf numFmtId="172" fontId="11" fillId="0" borderId="1" xfId="0" applyNumberFormat="1" applyFont="1" applyBorder="1" applyAlignment="1">
      <alignment horizontal="center" vertical="center"/>
    </xf>
    <xf numFmtId="10" fontId="11" fillId="0" borderId="0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3" fontId="20" fillId="0" borderId="1" xfId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 wrapText="1"/>
    </xf>
    <xf numFmtId="10" fontId="11" fillId="0" borderId="1" xfId="2" applyNumberFormat="1" applyFont="1" applyBorder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11" fillId="0" borderId="1" xfId="0" applyFont="1" applyBorder="1"/>
    <xf numFmtId="173" fontId="11" fillId="0" borderId="0" xfId="0" applyNumberFormat="1" applyFont="1"/>
    <xf numFmtId="4" fontId="11" fillId="0" borderId="1" xfId="0" applyNumberFormat="1" applyFont="1" applyBorder="1" applyAlignment="1">
      <alignment horizontal="center" vertical="center"/>
    </xf>
    <xf numFmtId="169" fontId="11" fillId="0" borderId="0" xfId="2" applyNumberFormat="1" applyFont="1"/>
    <xf numFmtId="4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8" fontId="2" fillId="3" borderId="1" xfId="1" applyNumberFormat="1" applyFont="1" applyFill="1" applyBorder="1" applyAlignment="1">
      <alignment horizontal="center" vertical="center"/>
    </xf>
    <xf numFmtId="168" fontId="8" fillId="3" borderId="1" xfId="1" applyNumberFormat="1" applyFont="1" applyFill="1" applyBorder="1" applyAlignment="1">
      <alignment horizontal="center" vertical="center"/>
    </xf>
    <xf numFmtId="172" fontId="12" fillId="2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view="pageBreakPreview" zoomScaleNormal="55" zoomScaleSheetLayoutView="100" workbookViewId="0">
      <selection activeCell="A21" sqref="A21"/>
    </sheetView>
  </sheetViews>
  <sheetFormatPr defaultColWidth="9.140625" defaultRowHeight="15" outlineLevelRow="1" x14ac:dyDescent="0.2"/>
  <cols>
    <col min="1" max="1" width="74" style="110" customWidth="1"/>
    <col min="2" max="2" width="20.5703125" style="81" customWidth="1"/>
    <col min="3" max="3" width="53.140625" style="81" customWidth="1"/>
    <col min="4" max="4" width="9.140625" style="81"/>
    <col min="5" max="5" width="10.5703125" style="99" customWidth="1"/>
    <col min="6" max="6" width="15.5703125" style="99" bestFit="1" customWidth="1"/>
    <col min="7" max="7" width="20.7109375" style="81" bestFit="1" customWidth="1"/>
    <col min="8" max="8" width="19.5703125" style="81" bestFit="1" customWidth="1"/>
    <col min="9" max="9" width="13.7109375" style="81" customWidth="1"/>
    <col min="10" max="10" width="14.5703125" style="81" customWidth="1"/>
    <col min="11" max="11" width="13" style="81" customWidth="1"/>
    <col min="12" max="12" width="14.5703125" style="81" customWidth="1"/>
    <col min="13" max="13" width="9.7109375" style="81" bestFit="1" customWidth="1"/>
    <col min="14" max="16384" width="9.140625" style="81"/>
  </cols>
  <sheetData>
    <row r="1" spans="1:11" ht="38.25" customHeight="1" x14ac:dyDescent="0.25">
      <c r="A1" s="186" t="s">
        <v>129</v>
      </c>
      <c r="B1" s="186"/>
      <c r="C1" s="186"/>
    </row>
    <row r="2" spans="1:11" ht="18" x14ac:dyDescent="0.25">
      <c r="A2" s="171"/>
      <c r="B2" s="171"/>
      <c r="C2" s="171"/>
    </row>
    <row r="3" spans="1:11" x14ac:dyDescent="0.2">
      <c r="A3" s="137" t="s">
        <v>160</v>
      </c>
    </row>
    <row r="4" spans="1:11" x14ac:dyDescent="0.2">
      <c r="A4" s="137"/>
    </row>
    <row r="5" spans="1:11" ht="15.75" x14ac:dyDescent="0.25">
      <c r="A5" s="111" t="s">
        <v>57</v>
      </c>
      <c r="B5" s="84"/>
    </row>
    <row r="6" spans="1:11" ht="15.75" x14ac:dyDescent="0.2">
      <c r="A6" s="112" t="s">
        <v>65</v>
      </c>
      <c r="B6" s="98" t="s">
        <v>66</v>
      </c>
      <c r="C6" s="98" t="s">
        <v>92</v>
      </c>
    </row>
    <row r="7" spans="1:11" x14ac:dyDescent="0.2">
      <c r="A7" s="113" t="s">
        <v>67</v>
      </c>
      <c r="B7" s="82">
        <v>8.7223000000000006</v>
      </c>
      <c r="C7" s="100"/>
    </row>
    <row r="8" spans="1:11" x14ac:dyDescent="0.2">
      <c r="A8" s="113" t="s">
        <v>90</v>
      </c>
      <c r="B8" s="82">
        <f>B7-B9</f>
        <v>5.6968000000000005</v>
      </c>
      <c r="C8" s="100" t="s">
        <v>93</v>
      </c>
    </row>
    <row r="9" spans="1:11" x14ac:dyDescent="0.2">
      <c r="A9" s="113" t="s">
        <v>91</v>
      </c>
      <c r="B9" s="195">
        <f>1.1795+1.846</f>
        <v>3.0255000000000001</v>
      </c>
      <c r="C9" s="100" t="s">
        <v>94</v>
      </c>
      <c r="F9" s="185"/>
    </row>
    <row r="10" spans="1:11" x14ac:dyDescent="0.2">
      <c r="A10" s="113" t="s">
        <v>74</v>
      </c>
      <c r="B10" s="91">
        <v>15000</v>
      </c>
      <c r="C10" s="157" t="s">
        <v>95</v>
      </c>
    </row>
    <row r="11" spans="1:11" x14ac:dyDescent="0.2">
      <c r="A11" s="113" t="s">
        <v>96</v>
      </c>
      <c r="B11" s="136">
        <f>B9*B10</f>
        <v>45382.5</v>
      </c>
      <c r="C11" s="157" t="s">
        <v>97</v>
      </c>
    </row>
    <row r="12" spans="1:11" x14ac:dyDescent="0.2">
      <c r="A12" s="114"/>
      <c r="B12" s="99"/>
      <c r="C12" s="99"/>
    </row>
    <row r="13" spans="1:11" ht="15.75" x14ac:dyDescent="0.2">
      <c r="A13" s="115" t="s">
        <v>101</v>
      </c>
      <c r="B13" s="108"/>
      <c r="C13" s="108"/>
    </row>
    <row r="14" spans="1:11" ht="15.75" x14ac:dyDescent="0.2">
      <c r="A14" s="196" t="s">
        <v>163</v>
      </c>
      <c r="B14" s="108"/>
      <c r="C14" s="108"/>
      <c r="H14" s="159"/>
      <c r="I14" s="159"/>
      <c r="J14" s="159"/>
      <c r="K14" s="159"/>
    </row>
    <row r="15" spans="1:11" s="159" customFormat="1" ht="15.75" x14ac:dyDescent="0.2">
      <c r="A15" s="158"/>
      <c r="B15" s="187" t="s">
        <v>115</v>
      </c>
      <c r="C15" s="187"/>
    </row>
    <row r="16" spans="1:11" s="159" customFormat="1" ht="15.75" x14ac:dyDescent="0.2">
      <c r="A16" s="158" t="s">
        <v>65</v>
      </c>
      <c r="B16" s="160" t="s">
        <v>66</v>
      </c>
      <c r="C16" s="160" t="s">
        <v>92</v>
      </c>
    </row>
    <row r="17" spans="1:8" x14ac:dyDescent="0.2">
      <c r="A17" s="107" t="s">
        <v>68</v>
      </c>
      <c r="B17" s="161">
        <v>0.1</v>
      </c>
      <c r="C17" s="100" t="s">
        <v>102</v>
      </c>
      <c r="E17" s="81"/>
      <c r="F17" s="81"/>
    </row>
    <row r="18" spans="1:8" x14ac:dyDescent="0.2">
      <c r="A18" s="107" t="s">
        <v>69</v>
      </c>
      <c r="B18" s="181">
        <f>B11*B17</f>
        <v>4538.25</v>
      </c>
      <c r="C18" s="100" t="s">
        <v>102</v>
      </c>
      <c r="E18" s="81"/>
      <c r="F18" s="81"/>
    </row>
    <row r="19" spans="1:8" ht="30" x14ac:dyDescent="0.2">
      <c r="A19" s="197" t="s">
        <v>164</v>
      </c>
      <c r="B19" s="183">
        <f>ROUND(AVERAGE('Э1 (СЗ)'!K14:N14)*1000,2)</f>
        <v>66480.84</v>
      </c>
      <c r="C19" s="100" t="s">
        <v>135</v>
      </c>
      <c r="E19" s="81"/>
      <c r="F19" s="81"/>
      <c r="G19" s="182"/>
    </row>
    <row r="20" spans="1:8" x14ac:dyDescent="0.2">
      <c r="A20" s="107" t="s">
        <v>98</v>
      </c>
      <c r="B20" s="184">
        <f>ROUND(B18*B19/1000000,8)</f>
        <v>301.70667213000002</v>
      </c>
      <c r="C20" s="100" t="s">
        <v>103</v>
      </c>
      <c r="E20" s="81"/>
      <c r="F20" s="81"/>
    </row>
    <row r="21" spans="1:8" ht="45" x14ac:dyDescent="0.2">
      <c r="A21" s="107" t="s">
        <v>123</v>
      </c>
      <c r="B21" s="97">
        <f>(GEOMEAN(F36:F65)-1)*12</f>
        <v>0.11768085831743935</v>
      </c>
      <c r="C21" s="100" t="s">
        <v>108</v>
      </c>
      <c r="E21" s="81"/>
      <c r="F21" s="81"/>
    </row>
    <row r="22" spans="1:8" ht="30" x14ac:dyDescent="0.2">
      <c r="A22" s="107" t="s">
        <v>116</v>
      </c>
      <c r="B22" s="104">
        <v>44105</v>
      </c>
      <c r="C22" s="101" t="s">
        <v>104</v>
      </c>
      <c r="E22" s="81"/>
      <c r="F22" s="81"/>
    </row>
    <row r="23" spans="1:8" ht="30" x14ac:dyDescent="0.2">
      <c r="A23" s="107" t="s">
        <v>117</v>
      </c>
      <c r="B23" s="104">
        <v>44562</v>
      </c>
      <c r="C23" s="101" t="s">
        <v>153</v>
      </c>
      <c r="E23" s="81"/>
      <c r="F23" s="81"/>
    </row>
    <row r="24" spans="1:8" ht="30" x14ac:dyDescent="0.2">
      <c r="A24" s="107" t="s">
        <v>118</v>
      </c>
      <c r="B24" s="104">
        <f>B23+31</f>
        <v>44593</v>
      </c>
      <c r="C24" s="101" t="s">
        <v>109</v>
      </c>
      <c r="E24" s="81"/>
      <c r="F24" s="81"/>
    </row>
    <row r="25" spans="1:8" ht="45" x14ac:dyDescent="0.2">
      <c r="A25" s="107" t="s">
        <v>119</v>
      </c>
      <c r="B25" s="91">
        <f>ROUNDUP(B18/500,0)</f>
        <v>10</v>
      </c>
      <c r="C25" s="101" t="s">
        <v>110</v>
      </c>
      <c r="E25" s="81"/>
      <c r="F25" s="81"/>
    </row>
    <row r="26" spans="1:8" x14ac:dyDescent="0.2">
      <c r="A26" s="107" t="s">
        <v>122</v>
      </c>
      <c r="B26" s="104">
        <f>B23+B25*365/12</f>
        <v>44866.166666666664</v>
      </c>
      <c r="C26" s="101"/>
      <c r="F26" s="177"/>
      <c r="G26" s="105"/>
    </row>
    <row r="27" spans="1:8" ht="30" x14ac:dyDescent="0.2">
      <c r="A27" s="107" t="s">
        <v>99</v>
      </c>
      <c r="B27" s="94">
        <f>SUM(B36:B65)</f>
        <v>301.70667209999999</v>
      </c>
      <c r="C27" s="101"/>
      <c r="F27" s="178"/>
      <c r="G27" s="105"/>
    </row>
    <row r="28" spans="1:8" x14ac:dyDescent="0.2">
      <c r="A28" s="118" t="s">
        <v>100</v>
      </c>
      <c r="B28" s="93">
        <f>ROUND(B27/$B$9,8)</f>
        <v>99.721259989999993</v>
      </c>
      <c r="C28" s="101"/>
      <c r="G28" s="102"/>
    </row>
    <row r="29" spans="1:8" x14ac:dyDescent="0.2">
      <c r="A29" s="107" t="s">
        <v>76</v>
      </c>
      <c r="B29" s="93">
        <f>SUM(C36:C65)</f>
        <v>239.99883785</v>
      </c>
      <c r="C29" s="101"/>
    </row>
    <row r="30" spans="1:8" x14ac:dyDescent="0.2">
      <c r="A30" s="118" t="s">
        <v>77</v>
      </c>
      <c r="B30" s="148">
        <f>ROUND(B29/$B$9,8)</f>
        <v>79.325347170000001</v>
      </c>
      <c r="C30" s="101"/>
    </row>
    <row r="31" spans="1:8" ht="15.75" hidden="1" outlineLevel="1" x14ac:dyDescent="0.2">
      <c r="A31" s="149" t="s">
        <v>114</v>
      </c>
      <c r="B31" s="150">
        <f>ROUND(B30,8)</f>
        <v>79.325347170000001</v>
      </c>
      <c r="C31" s="151"/>
    </row>
    <row r="32" spans="1:8" ht="63" collapsed="1" x14ac:dyDescent="0.2">
      <c r="A32" s="152" t="s">
        <v>161</v>
      </c>
      <c r="B32" s="150">
        <f>ROUND(B31*B9,2)</f>
        <v>240</v>
      </c>
      <c r="C32" s="101" t="s">
        <v>130</v>
      </c>
      <c r="E32" s="109"/>
      <c r="H32" s="180"/>
    </row>
    <row r="33" spans="1:12" x14ac:dyDescent="0.2">
      <c r="A33" s="116"/>
      <c r="B33" s="134"/>
      <c r="C33" s="109"/>
      <c r="E33" s="185"/>
      <c r="H33" s="180"/>
    </row>
    <row r="34" spans="1:12" ht="15.75" x14ac:dyDescent="0.2">
      <c r="A34" s="115" t="s">
        <v>75</v>
      </c>
      <c r="B34" s="135"/>
      <c r="C34" s="108"/>
      <c r="E34" s="109"/>
      <c r="L34" s="85"/>
    </row>
    <row r="35" spans="1:12" s="85" customFormat="1" ht="60" x14ac:dyDescent="0.2">
      <c r="A35" s="117" t="s">
        <v>70</v>
      </c>
      <c r="B35" s="89" t="s">
        <v>106</v>
      </c>
      <c r="C35" s="89" t="s">
        <v>107</v>
      </c>
      <c r="E35" s="159"/>
      <c r="F35" s="159"/>
      <c r="L35" s="81"/>
    </row>
    <row r="36" spans="1:12" hidden="1" outlineLevel="1" x14ac:dyDescent="0.2">
      <c r="A36" s="125"/>
      <c r="B36" s="83"/>
      <c r="C36" s="83"/>
      <c r="D36" s="179"/>
      <c r="E36" s="176"/>
      <c r="F36" s="162"/>
    </row>
    <row r="37" spans="1:12" hidden="1" outlineLevel="1" x14ac:dyDescent="0.2">
      <c r="A37" s="125"/>
      <c r="B37" s="83"/>
      <c r="C37" s="83"/>
      <c r="D37" s="179"/>
      <c r="E37" s="176"/>
      <c r="F37" s="162"/>
    </row>
    <row r="38" spans="1:12" hidden="1" outlineLevel="1" x14ac:dyDescent="0.2">
      <c r="A38" s="125"/>
      <c r="B38" s="83"/>
      <c r="C38" s="83"/>
      <c r="D38" s="179"/>
      <c r="E38" s="176"/>
      <c r="F38" s="162"/>
    </row>
    <row r="39" spans="1:12" collapsed="1" x14ac:dyDescent="0.2">
      <c r="A39" s="125">
        <v>44105</v>
      </c>
      <c r="B39" s="184">
        <f>ROUND(IF(AND(A39&gt;=$B$24,A39&lt;=$B$26),$B$20/$B$25,0),8)</f>
        <v>0</v>
      </c>
      <c r="C39" s="184">
        <f>ROUND(B39/(1+E39/12)^(D39-1),8)</f>
        <v>0</v>
      </c>
      <c r="D39" s="179">
        <v>1</v>
      </c>
      <c r="E39" s="176">
        <f>D70</f>
        <v>8.4999999999999992E-2</v>
      </c>
      <c r="F39" s="162">
        <f t="shared" ref="F39:F65" si="0">IF(AND(A39&gt;=$B$22,A39&lt;=$B$26),1+E39/12,"")</f>
        <v>1.0070833333333333</v>
      </c>
    </row>
    <row r="40" spans="1:12" x14ac:dyDescent="0.2">
      <c r="A40" s="125">
        <v>44136</v>
      </c>
      <c r="B40" s="184">
        <f t="shared" ref="B40:B65" si="1">ROUND(IF(AND(A40&gt;=$B$24,A40&lt;=$B$26),$B$20/$B$25,0),8)</f>
        <v>0</v>
      </c>
      <c r="C40" s="184">
        <f t="shared" ref="C40:C65" si="2">ROUND(B40/(1+E40/12)^(D40-1),8)</f>
        <v>0</v>
      </c>
      <c r="D40" s="179">
        <v>2</v>
      </c>
      <c r="E40" s="176">
        <f>E39</f>
        <v>8.4999999999999992E-2</v>
      </c>
      <c r="F40" s="162">
        <f t="shared" si="0"/>
        <v>1.0070833333333333</v>
      </c>
    </row>
    <row r="41" spans="1:12" x14ac:dyDescent="0.2">
      <c r="A41" s="125">
        <v>44166</v>
      </c>
      <c r="B41" s="184">
        <f t="shared" si="1"/>
        <v>0</v>
      </c>
      <c r="C41" s="184">
        <f t="shared" si="2"/>
        <v>0</v>
      </c>
      <c r="D41" s="179">
        <v>3</v>
      </c>
      <c r="E41" s="176">
        <f>E40</f>
        <v>8.4999999999999992E-2</v>
      </c>
      <c r="F41" s="162">
        <f t="shared" si="0"/>
        <v>1.0070833333333333</v>
      </c>
    </row>
    <row r="42" spans="1:12" x14ac:dyDescent="0.2">
      <c r="A42" s="125">
        <v>44197</v>
      </c>
      <c r="B42" s="184">
        <f t="shared" si="1"/>
        <v>0</v>
      </c>
      <c r="C42" s="184">
        <f t="shared" si="2"/>
        <v>0</v>
      </c>
      <c r="D42" s="179">
        <v>4</v>
      </c>
      <c r="E42" s="176">
        <f t="shared" ref="E42:E53" si="3">$D$71</f>
        <v>0.11</v>
      </c>
      <c r="F42" s="162">
        <f t="shared" si="0"/>
        <v>1.0091666666666668</v>
      </c>
    </row>
    <row r="43" spans="1:12" x14ac:dyDescent="0.2">
      <c r="A43" s="125">
        <v>44228</v>
      </c>
      <c r="B43" s="184">
        <f t="shared" si="1"/>
        <v>0</v>
      </c>
      <c r="C43" s="184">
        <f t="shared" si="2"/>
        <v>0</v>
      </c>
      <c r="D43" s="179">
        <v>5</v>
      </c>
      <c r="E43" s="176">
        <f t="shared" si="3"/>
        <v>0.11</v>
      </c>
      <c r="F43" s="162">
        <f t="shared" si="0"/>
        <v>1.0091666666666668</v>
      </c>
    </row>
    <row r="44" spans="1:12" x14ac:dyDescent="0.2">
      <c r="A44" s="125">
        <v>44256</v>
      </c>
      <c r="B44" s="184">
        <f t="shared" si="1"/>
        <v>0</v>
      </c>
      <c r="C44" s="184">
        <f t="shared" si="2"/>
        <v>0</v>
      </c>
      <c r="D44" s="179">
        <v>6</v>
      </c>
      <c r="E44" s="176">
        <f t="shared" si="3"/>
        <v>0.11</v>
      </c>
      <c r="F44" s="162">
        <f t="shared" si="0"/>
        <v>1.0091666666666668</v>
      </c>
      <c r="J44" s="163"/>
    </row>
    <row r="45" spans="1:12" x14ac:dyDescent="0.2">
      <c r="A45" s="125">
        <v>44287</v>
      </c>
      <c r="B45" s="184">
        <f t="shared" si="1"/>
        <v>0</v>
      </c>
      <c r="C45" s="184">
        <f t="shared" si="2"/>
        <v>0</v>
      </c>
      <c r="D45" s="179">
        <v>7</v>
      </c>
      <c r="E45" s="176">
        <f t="shared" si="3"/>
        <v>0.11</v>
      </c>
      <c r="F45" s="162">
        <f t="shared" si="0"/>
        <v>1.0091666666666668</v>
      </c>
      <c r="J45" s="163"/>
    </row>
    <row r="46" spans="1:12" x14ac:dyDescent="0.2">
      <c r="A46" s="125">
        <v>44317</v>
      </c>
      <c r="B46" s="184">
        <f t="shared" si="1"/>
        <v>0</v>
      </c>
      <c r="C46" s="184">
        <f t="shared" si="2"/>
        <v>0</v>
      </c>
      <c r="D46" s="179">
        <v>8</v>
      </c>
      <c r="E46" s="176">
        <f t="shared" si="3"/>
        <v>0.11</v>
      </c>
      <c r="F46" s="162">
        <f t="shared" si="0"/>
        <v>1.0091666666666668</v>
      </c>
      <c r="J46" s="163"/>
    </row>
    <row r="47" spans="1:12" x14ac:dyDescent="0.2">
      <c r="A47" s="125">
        <v>44348</v>
      </c>
      <c r="B47" s="184">
        <f t="shared" si="1"/>
        <v>0</v>
      </c>
      <c r="C47" s="184">
        <f t="shared" si="2"/>
        <v>0</v>
      </c>
      <c r="D47" s="179">
        <v>9</v>
      </c>
      <c r="E47" s="176">
        <f t="shared" si="3"/>
        <v>0.11</v>
      </c>
      <c r="F47" s="162">
        <f t="shared" si="0"/>
        <v>1.0091666666666668</v>
      </c>
      <c r="J47" s="163"/>
    </row>
    <row r="48" spans="1:12" x14ac:dyDescent="0.2">
      <c r="A48" s="125">
        <v>44378</v>
      </c>
      <c r="B48" s="184">
        <f t="shared" si="1"/>
        <v>0</v>
      </c>
      <c r="C48" s="184">
        <f t="shared" si="2"/>
        <v>0</v>
      </c>
      <c r="D48" s="179">
        <v>10</v>
      </c>
      <c r="E48" s="176">
        <f t="shared" si="3"/>
        <v>0.11</v>
      </c>
      <c r="F48" s="162">
        <f t="shared" si="0"/>
        <v>1.0091666666666668</v>
      </c>
      <c r="J48" s="163"/>
    </row>
    <row r="49" spans="1:10" x14ac:dyDescent="0.2">
      <c r="A49" s="125">
        <v>44409</v>
      </c>
      <c r="B49" s="184">
        <f t="shared" si="1"/>
        <v>0</v>
      </c>
      <c r="C49" s="184">
        <f t="shared" si="2"/>
        <v>0</v>
      </c>
      <c r="D49" s="179">
        <v>11</v>
      </c>
      <c r="E49" s="176">
        <f t="shared" si="3"/>
        <v>0.11</v>
      </c>
      <c r="F49" s="162">
        <f t="shared" si="0"/>
        <v>1.0091666666666668</v>
      </c>
      <c r="J49" s="163"/>
    </row>
    <row r="50" spans="1:10" x14ac:dyDescent="0.2">
      <c r="A50" s="125">
        <v>44440</v>
      </c>
      <c r="B50" s="184">
        <f t="shared" si="1"/>
        <v>0</v>
      </c>
      <c r="C50" s="184">
        <f t="shared" si="2"/>
        <v>0</v>
      </c>
      <c r="D50" s="179">
        <v>12</v>
      </c>
      <c r="E50" s="176">
        <f t="shared" si="3"/>
        <v>0.11</v>
      </c>
      <c r="F50" s="162">
        <f t="shared" si="0"/>
        <v>1.0091666666666668</v>
      </c>
      <c r="J50" s="163"/>
    </row>
    <row r="51" spans="1:10" x14ac:dyDescent="0.2">
      <c r="A51" s="125">
        <v>44470</v>
      </c>
      <c r="B51" s="184">
        <f t="shared" si="1"/>
        <v>0</v>
      </c>
      <c r="C51" s="184">
        <f t="shared" si="2"/>
        <v>0</v>
      </c>
      <c r="D51" s="179">
        <v>13</v>
      </c>
      <c r="E51" s="176">
        <f t="shared" si="3"/>
        <v>0.11</v>
      </c>
      <c r="F51" s="162">
        <f t="shared" si="0"/>
        <v>1.0091666666666668</v>
      </c>
      <c r="J51" s="163"/>
    </row>
    <row r="52" spans="1:10" x14ac:dyDescent="0.2">
      <c r="A52" s="125">
        <v>44501</v>
      </c>
      <c r="B52" s="184">
        <f t="shared" si="1"/>
        <v>0</v>
      </c>
      <c r="C52" s="184">
        <f t="shared" si="2"/>
        <v>0</v>
      </c>
      <c r="D52" s="179">
        <v>14</v>
      </c>
      <c r="E52" s="176">
        <f t="shared" si="3"/>
        <v>0.11</v>
      </c>
      <c r="F52" s="162">
        <f t="shared" si="0"/>
        <v>1.0091666666666668</v>
      </c>
      <c r="J52" s="163"/>
    </row>
    <row r="53" spans="1:10" x14ac:dyDescent="0.2">
      <c r="A53" s="125">
        <v>44531</v>
      </c>
      <c r="B53" s="184">
        <f t="shared" si="1"/>
        <v>0</v>
      </c>
      <c r="C53" s="184">
        <f t="shared" si="2"/>
        <v>0</v>
      </c>
      <c r="D53" s="179">
        <v>15</v>
      </c>
      <c r="E53" s="176">
        <f t="shared" si="3"/>
        <v>0.11</v>
      </c>
      <c r="F53" s="162">
        <f t="shared" si="0"/>
        <v>1.0091666666666668</v>
      </c>
      <c r="J53" s="163"/>
    </row>
    <row r="54" spans="1:10" x14ac:dyDescent="0.2">
      <c r="A54" s="125">
        <v>44562</v>
      </c>
      <c r="B54" s="184">
        <f t="shared" si="1"/>
        <v>0</v>
      </c>
      <c r="C54" s="184">
        <f t="shared" si="2"/>
        <v>0</v>
      </c>
      <c r="D54" s="179">
        <v>16</v>
      </c>
      <c r="E54" s="176">
        <f t="shared" ref="E54:E65" si="4">$D$72</f>
        <v>0.13500000000000001</v>
      </c>
      <c r="F54" s="162">
        <f t="shared" si="0"/>
        <v>1.01125</v>
      </c>
      <c r="J54" s="163"/>
    </row>
    <row r="55" spans="1:10" x14ac:dyDescent="0.2">
      <c r="A55" s="125">
        <v>44593</v>
      </c>
      <c r="B55" s="184">
        <f t="shared" si="1"/>
        <v>30.170667210000001</v>
      </c>
      <c r="C55" s="184">
        <f t="shared" si="2"/>
        <v>25.22599821</v>
      </c>
      <c r="D55" s="179">
        <v>17</v>
      </c>
      <c r="E55" s="176">
        <f t="shared" si="4"/>
        <v>0.13500000000000001</v>
      </c>
      <c r="F55" s="162">
        <f t="shared" si="0"/>
        <v>1.01125</v>
      </c>
      <c r="J55" s="163"/>
    </row>
    <row r="56" spans="1:10" x14ac:dyDescent="0.2">
      <c r="A56" s="125">
        <v>44621</v>
      </c>
      <c r="B56" s="184">
        <f t="shared" si="1"/>
        <v>30.170667210000001</v>
      </c>
      <c r="C56" s="184">
        <f t="shared" si="2"/>
        <v>24.945362880000001</v>
      </c>
      <c r="D56" s="179">
        <v>18</v>
      </c>
      <c r="E56" s="176">
        <f t="shared" si="4"/>
        <v>0.13500000000000001</v>
      </c>
      <c r="F56" s="162">
        <f t="shared" si="0"/>
        <v>1.01125</v>
      </c>
      <c r="J56" s="163"/>
    </row>
    <row r="57" spans="1:10" x14ac:dyDescent="0.2">
      <c r="A57" s="125">
        <v>44652</v>
      </c>
      <c r="B57" s="184">
        <f t="shared" si="1"/>
        <v>30.170667210000001</v>
      </c>
      <c r="C57" s="184">
        <f t="shared" si="2"/>
        <v>24.667849570000001</v>
      </c>
      <c r="D57" s="179">
        <v>19</v>
      </c>
      <c r="E57" s="176">
        <f t="shared" si="4"/>
        <v>0.13500000000000001</v>
      </c>
      <c r="F57" s="162">
        <f t="shared" si="0"/>
        <v>1.01125</v>
      </c>
      <c r="J57" s="163"/>
    </row>
    <row r="58" spans="1:10" x14ac:dyDescent="0.2">
      <c r="A58" s="125">
        <v>44682</v>
      </c>
      <c r="B58" s="184">
        <f t="shared" si="1"/>
        <v>30.170667210000001</v>
      </c>
      <c r="C58" s="184">
        <f t="shared" si="2"/>
        <v>24.393423550000001</v>
      </c>
      <c r="D58" s="179">
        <v>20</v>
      </c>
      <c r="E58" s="176">
        <f t="shared" si="4"/>
        <v>0.13500000000000001</v>
      </c>
      <c r="F58" s="162">
        <f t="shared" si="0"/>
        <v>1.01125</v>
      </c>
      <c r="J58" s="163"/>
    </row>
    <row r="59" spans="1:10" x14ac:dyDescent="0.2">
      <c r="A59" s="125">
        <v>44713</v>
      </c>
      <c r="B59" s="184">
        <f t="shared" si="1"/>
        <v>30.170667210000001</v>
      </c>
      <c r="C59" s="184">
        <f t="shared" si="2"/>
        <v>24.122050489999999</v>
      </c>
      <c r="D59" s="179">
        <v>21</v>
      </c>
      <c r="E59" s="176">
        <f t="shared" si="4"/>
        <v>0.13500000000000001</v>
      </c>
      <c r="F59" s="162">
        <f t="shared" si="0"/>
        <v>1.01125</v>
      </c>
      <c r="J59" s="163"/>
    </row>
    <row r="60" spans="1:10" x14ac:dyDescent="0.2">
      <c r="A60" s="125">
        <v>44743</v>
      </c>
      <c r="B60" s="184">
        <f t="shared" si="1"/>
        <v>30.170667210000001</v>
      </c>
      <c r="C60" s="184">
        <f t="shared" si="2"/>
        <v>23.8536964</v>
      </c>
      <c r="D60" s="179">
        <v>22</v>
      </c>
      <c r="E60" s="176">
        <f t="shared" si="4"/>
        <v>0.13500000000000001</v>
      </c>
      <c r="F60" s="162">
        <f>IF(AND(A60&gt;=$B$22,A60&lt;=$B$26),1+E60/12,"")</f>
        <v>1.01125</v>
      </c>
      <c r="J60" s="163"/>
    </row>
    <row r="61" spans="1:10" x14ac:dyDescent="0.2">
      <c r="A61" s="125">
        <v>44774</v>
      </c>
      <c r="B61" s="184">
        <f t="shared" si="1"/>
        <v>30.170667210000001</v>
      </c>
      <c r="C61" s="184">
        <f t="shared" si="2"/>
        <v>23.588327719999999</v>
      </c>
      <c r="D61" s="179">
        <v>23</v>
      </c>
      <c r="E61" s="176">
        <f t="shared" si="4"/>
        <v>0.13500000000000001</v>
      </c>
      <c r="F61" s="162">
        <f t="shared" si="0"/>
        <v>1.01125</v>
      </c>
      <c r="J61" s="163"/>
    </row>
    <row r="62" spans="1:10" x14ac:dyDescent="0.2">
      <c r="A62" s="125">
        <v>44805</v>
      </c>
      <c r="B62" s="184">
        <f t="shared" si="1"/>
        <v>30.170667210000001</v>
      </c>
      <c r="C62" s="184">
        <f t="shared" si="2"/>
        <v>23.325911210000001</v>
      </c>
      <c r="D62" s="179">
        <v>24</v>
      </c>
      <c r="E62" s="176">
        <f t="shared" si="4"/>
        <v>0.13500000000000001</v>
      </c>
      <c r="F62" s="162">
        <f t="shared" si="0"/>
        <v>1.01125</v>
      </c>
      <c r="H62" s="103"/>
      <c r="J62" s="163"/>
    </row>
    <row r="63" spans="1:10" x14ac:dyDescent="0.2">
      <c r="A63" s="125">
        <v>44835</v>
      </c>
      <c r="B63" s="184">
        <f t="shared" si="1"/>
        <v>30.170667210000001</v>
      </c>
      <c r="C63" s="184">
        <f t="shared" si="2"/>
        <v>23.06641406</v>
      </c>
      <c r="D63" s="179">
        <v>25</v>
      </c>
      <c r="E63" s="176">
        <f t="shared" si="4"/>
        <v>0.13500000000000001</v>
      </c>
      <c r="F63" s="162">
        <f t="shared" si="0"/>
        <v>1.01125</v>
      </c>
      <c r="J63" s="163"/>
    </row>
    <row r="64" spans="1:10" x14ac:dyDescent="0.2">
      <c r="A64" s="125">
        <v>44866</v>
      </c>
      <c r="B64" s="184">
        <f t="shared" si="1"/>
        <v>30.170667210000001</v>
      </c>
      <c r="C64" s="184">
        <f t="shared" si="2"/>
        <v>22.809803760000001</v>
      </c>
      <c r="D64" s="179">
        <v>26</v>
      </c>
      <c r="E64" s="176">
        <f t="shared" si="4"/>
        <v>0.13500000000000001</v>
      </c>
      <c r="F64" s="162">
        <f t="shared" si="0"/>
        <v>1.01125</v>
      </c>
      <c r="J64" s="163"/>
    </row>
    <row r="65" spans="1:10" x14ac:dyDescent="0.2">
      <c r="A65" s="125">
        <v>44896</v>
      </c>
      <c r="B65" s="184">
        <f t="shared" si="1"/>
        <v>0</v>
      </c>
      <c r="C65" s="184">
        <f t="shared" si="2"/>
        <v>0</v>
      </c>
      <c r="D65" s="179"/>
      <c r="E65" s="176">
        <f t="shared" si="4"/>
        <v>0.13500000000000001</v>
      </c>
      <c r="F65" s="162" t="str">
        <f t="shared" si="0"/>
        <v/>
      </c>
      <c r="J65" s="163"/>
    </row>
    <row r="68" spans="1:10" ht="15.75" x14ac:dyDescent="0.25">
      <c r="A68" s="191" t="s">
        <v>138</v>
      </c>
      <c r="B68" s="191"/>
      <c r="C68" s="191"/>
      <c r="D68" s="191"/>
    </row>
    <row r="69" spans="1:10" ht="47.25" x14ac:dyDescent="0.2">
      <c r="A69" s="164" t="s">
        <v>136</v>
      </c>
      <c r="B69" s="164" t="s">
        <v>139</v>
      </c>
      <c r="C69" s="164" t="s">
        <v>134</v>
      </c>
      <c r="D69" s="164" t="s">
        <v>137</v>
      </c>
    </row>
    <row r="70" spans="1:10" x14ac:dyDescent="0.2">
      <c r="A70" s="82">
        <v>2020</v>
      </c>
      <c r="B70" s="188">
        <f>4.5%+2.85%</f>
        <v>7.3499999999999996E-2</v>
      </c>
      <c r="C70" s="165">
        <v>1.15E-2</v>
      </c>
      <c r="D70" s="161">
        <f>$B$70+C70</f>
        <v>8.4999999999999992E-2</v>
      </c>
    </row>
    <row r="71" spans="1:10" x14ac:dyDescent="0.2">
      <c r="A71" s="82">
        <v>2021</v>
      </c>
      <c r="B71" s="189"/>
      <c r="C71" s="165">
        <f>C70+2.5%</f>
        <v>3.6500000000000005E-2</v>
      </c>
      <c r="D71" s="161">
        <f>$B$70+C71</f>
        <v>0.11</v>
      </c>
    </row>
    <row r="72" spans="1:10" x14ac:dyDescent="0.2">
      <c r="A72" s="82">
        <v>2022</v>
      </c>
      <c r="B72" s="190"/>
      <c r="C72" s="165">
        <f>C71+2.5%</f>
        <v>6.1500000000000006E-2</v>
      </c>
      <c r="D72" s="161">
        <f>$B$70+C72</f>
        <v>0.13500000000000001</v>
      </c>
    </row>
  </sheetData>
  <mergeCells count="4">
    <mergeCell ref="A1:C1"/>
    <mergeCell ref="B15:C15"/>
    <mergeCell ref="B70:B72"/>
    <mergeCell ref="A68:D68"/>
  </mergeCells>
  <conditionalFormatting sqref="B36:C65">
    <cfRule type="cellIs" dxfId="524" priority="2" operator="equal">
      <formula>0</formula>
    </cfRule>
  </conditionalFormatting>
  <pageMargins left="0.70866141732283472" right="0.45" top="0.53" bottom="0.31" header="0.11811023622047245" footer="0.11811023622047245"/>
  <pageSetup paperSize="9" scale="62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60"/>
  <sheetViews>
    <sheetView zoomScale="85" zoomScaleNormal="85" zoomScaleSheetLayoutView="70" workbookViewId="0">
      <selection activeCell="C1" sqref="C1:D1048576"/>
    </sheetView>
  </sheetViews>
  <sheetFormatPr defaultColWidth="0" defaultRowHeight="12.75" customHeight="1" zeroHeight="1" outlineLevelCol="1" x14ac:dyDescent="0.2"/>
  <cols>
    <col min="1" max="1" width="36.42578125" bestFit="1" customWidth="1"/>
    <col min="2" max="2" width="14.140625" style="7" customWidth="1"/>
    <col min="3" max="4" width="9.28515625" style="7" hidden="1" customWidth="1" outlineLevel="1"/>
    <col min="5" max="5" width="9.28515625" style="7" bestFit="1" customWidth="1" collapsed="1"/>
    <col min="6" max="6" width="9.28515625" style="7" customWidth="1"/>
    <col min="7" max="9" width="9.28515625" style="12" bestFit="1" customWidth="1"/>
    <col min="10" max="18" width="9.28515625" bestFit="1" customWidth="1"/>
    <col min="19" max="22" width="9.28515625" customWidth="1"/>
    <col min="23" max="26" width="9.28515625" hidden="1" customWidth="1"/>
    <col min="27" max="16384" width="9.140625" hidden="1"/>
  </cols>
  <sheetData>
    <row r="1" spans="1:26" ht="20.25" x14ac:dyDescent="0.3">
      <c r="A1" s="33" t="s">
        <v>88</v>
      </c>
      <c r="Q1" s="156">
        <f>B24/B23</f>
        <v>3.9915721208886236E-2</v>
      </c>
      <c r="R1" s="155">
        <v>4.9217014203461638E-3</v>
      </c>
    </row>
    <row r="2" spans="1:26" x14ac:dyDescent="0.2">
      <c r="A2" s="50" t="s">
        <v>87</v>
      </c>
      <c r="B2" s="53"/>
      <c r="C2" s="53"/>
      <c r="D2" s="53"/>
      <c r="E2" s="53"/>
      <c r="F2" s="53"/>
      <c r="G2" s="68"/>
      <c r="H2" s="23"/>
      <c r="I2" s="23"/>
      <c r="J2" s="24"/>
    </row>
    <row r="3" spans="1:26" x14ac:dyDescent="0.2">
      <c r="A3" s="50"/>
      <c r="B3" s="50"/>
      <c r="C3" s="50"/>
      <c r="D3" s="50"/>
      <c r="E3" s="50"/>
      <c r="F3" s="50"/>
      <c r="G3" s="50"/>
      <c r="H3"/>
      <c r="I3"/>
    </row>
    <row r="4" spans="1:26" x14ac:dyDescent="0.2">
      <c r="A4" s="60" t="s">
        <v>56</v>
      </c>
      <c r="B4" s="55">
        <f>'Э1 (СЗ)'!B4</f>
        <v>38</v>
      </c>
      <c r="C4" s="53"/>
      <c r="D4" s="53"/>
      <c r="E4" s="53"/>
      <c r="F4" s="50"/>
      <c r="G4" s="95"/>
      <c r="H4" s="26"/>
      <c r="I4" s="26"/>
    </row>
    <row r="5" spans="1:26" x14ac:dyDescent="0.2">
      <c r="A5" s="60" t="s">
        <v>48</v>
      </c>
      <c r="B5" s="37">
        <f>'ИДиР (2)'!C7</f>
        <v>11345.625</v>
      </c>
      <c r="C5" s="132"/>
      <c r="D5" s="53"/>
      <c r="E5" s="53"/>
      <c r="F5" s="50"/>
      <c r="G5" s="50"/>
      <c r="H5"/>
      <c r="I5"/>
    </row>
    <row r="6" spans="1:26" x14ac:dyDescent="0.2">
      <c r="A6" s="60" t="s">
        <v>151</v>
      </c>
      <c r="B6" s="37">
        <f>'ИДиР (2)'!C9</f>
        <v>431133.75</v>
      </c>
      <c r="C6" s="132"/>
      <c r="D6" s="53"/>
      <c r="E6" s="53"/>
      <c r="F6" s="50"/>
      <c r="G6" s="50"/>
      <c r="H6"/>
      <c r="I6"/>
      <c r="N6" s="52"/>
    </row>
    <row r="7" spans="1:26" x14ac:dyDescent="0.2">
      <c r="A7" s="70" t="s">
        <v>149</v>
      </c>
      <c r="B7" s="71">
        <f>B6*'ИДиР (2)'!C11</f>
        <v>21556.6875</v>
      </c>
      <c r="C7" s="53"/>
      <c r="D7" s="53"/>
      <c r="E7" s="53"/>
      <c r="F7" s="72"/>
      <c r="G7" s="72"/>
      <c r="H7" s="52"/>
      <c r="I7" s="52"/>
      <c r="J7" s="52"/>
      <c r="K7" s="52"/>
      <c r="M7" s="52"/>
    </row>
    <row r="8" spans="1:26" x14ac:dyDescent="0.2">
      <c r="A8" s="60" t="s">
        <v>49</v>
      </c>
      <c r="B8" s="73">
        <v>0.5</v>
      </c>
      <c r="C8" s="53"/>
      <c r="D8" s="53"/>
      <c r="E8" s="53"/>
      <c r="F8" s="50"/>
      <c r="G8" s="50"/>
      <c r="H8"/>
      <c r="M8" s="52"/>
    </row>
    <row r="9" spans="1:26" x14ac:dyDescent="0.2">
      <c r="B9" s="138"/>
    </row>
    <row r="10" spans="1:26" s="63" customFormat="1" ht="15" x14ac:dyDescent="0.25">
      <c r="A10" s="61" t="s">
        <v>59</v>
      </c>
      <c r="B10" s="62"/>
      <c r="C10" s="194">
        <v>2020</v>
      </c>
      <c r="D10" s="194"/>
      <c r="E10" s="194"/>
      <c r="F10" s="194"/>
      <c r="G10" s="194">
        <f>C10+1</f>
        <v>2021</v>
      </c>
      <c r="H10" s="194"/>
      <c r="I10" s="194"/>
      <c r="J10" s="194"/>
      <c r="K10" s="194">
        <f>G10+1</f>
        <v>2022</v>
      </c>
      <c r="L10" s="194"/>
      <c r="M10" s="194"/>
      <c r="N10" s="194"/>
      <c r="O10" s="194">
        <f>K10+1</f>
        <v>2023</v>
      </c>
      <c r="P10" s="194"/>
      <c r="Q10" s="194"/>
      <c r="R10" s="194"/>
      <c r="S10" s="194">
        <f>O10+1</f>
        <v>2024</v>
      </c>
      <c r="T10" s="194"/>
      <c r="U10" s="194"/>
      <c r="V10" s="194"/>
      <c r="W10" s="194">
        <f>S10+1</f>
        <v>2025</v>
      </c>
      <c r="X10" s="194"/>
      <c r="Y10" s="194"/>
      <c r="Z10" s="194"/>
    </row>
    <row r="11" spans="1:26" s="63" customFormat="1" ht="15" x14ac:dyDescent="0.25">
      <c r="A11" s="64" t="str">
        <f>A1</f>
        <v>Финансовая модель реализации проектов строительства жилья специализированным застройщиком</v>
      </c>
      <c r="B11" s="62"/>
      <c r="C11" s="62" t="s">
        <v>15</v>
      </c>
      <c r="D11" s="62" t="s">
        <v>16</v>
      </c>
      <c r="E11" s="62" t="s">
        <v>17</v>
      </c>
      <c r="F11" s="62" t="s">
        <v>18</v>
      </c>
      <c r="G11" s="62" t="s">
        <v>15</v>
      </c>
      <c r="H11" s="62" t="s">
        <v>16</v>
      </c>
      <c r="I11" s="62" t="s">
        <v>17</v>
      </c>
      <c r="J11" s="62" t="s">
        <v>18</v>
      </c>
      <c r="K11" s="62" t="s">
        <v>15</v>
      </c>
      <c r="L11" s="62" t="s">
        <v>16</v>
      </c>
      <c r="M11" s="62" t="s">
        <v>17</v>
      </c>
      <c r="N11" s="62" t="s">
        <v>18</v>
      </c>
      <c r="O11" s="62" t="s">
        <v>15</v>
      </c>
      <c r="P11" s="62" t="s">
        <v>16</v>
      </c>
      <c r="Q11" s="62" t="s">
        <v>17</v>
      </c>
      <c r="R11" s="62" t="s">
        <v>18</v>
      </c>
      <c r="S11" s="62" t="s">
        <v>15</v>
      </c>
      <c r="T11" s="62" t="s">
        <v>16</v>
      </c>
      <c r="U11" s="62" t="s">
        <v>17</v>
      </c>
      <c r="V11" s="62" t="s">
        <v>18</v>
      </c>
      <c r="W11" s="62" t="s">
        <v>15</v>
      </c>
      <c r="X11" s="62" t="s">
        <v>16</v>
      </c>
      <c r="Y11" s="62" t="s">
        <v>17</v>
      </c>
      <c r="Z11" s="62" t="s">
        <v>18</v>
      </c>
    </row>
    <row r="12" spans="1:26" x14ac:dyDescent="0.2">
      <c r="A12" s="36" t="s">
        <v>52</v>
      </c>
      <c r="B12" s="34"/>
      <c r="C12" s="35"/>
      <c r="D12" s="35"/>
      <c r="E12" s="35"/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53</v>
      </c>
      <c r="N12" s="35" t="s">
        <v>53</v>
      </c>
      <c r="O12" s="35" t="s">
        <v>53</v>
      </c>
      <c r="P12" s="35" t="s">
        <v>53</v>
      </c>
      <c r="Q12" s="35"/>
      <c r="R12" s="35"/>
      <c r="S12" s="35"/>
      <c r="T12" s="35"/>
      <c r="U12" s="35"/>
      <c r="V12" s="35"/>
      <c r="W12" s="90"/>
      <c r="X12" s="90"/>
      <c r="Y12" s="90"/>
      <c r="Z12" s="90"/>
    </row>
    <row r="13" spans="1:26" x14ac:dyDescent="0.2">
      <c r="A13" s="36" t="s">
        <v>83</v>
      </c>
      <c r="B13" s="34"/>
      <c r="C13" s="35"/>
      <c r="D13" s="35"/>
      <c r="E13" s="35"/>
      <c r="F13" s="35" t="s">
        <v>54</v>
      </c>
      <c r="G13" s="35" t="s">
        <v>54</v>
      </c>
      <c r="H13" s="35" t="s">
        <v>55</v>
      </c>
      <c r="I13" s="35" t="s">
        <v>55</v>
      </c>
      <c r="J13" s="35" t="s">
        <v>55</v>
      </c>
      <c r="K13" s="35" t="s">
        <v>55</v>
      </c>
      <c r="L13" s="35" t="s">
        <v>55</v>
      </c>
      <c r="M13" s="35" t="s">
        <v>55</v>
      </c>
      <c r="N13" s="35" t="s">
        <v>55</v>
      </c>
      <c r="O13" s="35" t="s">
        <v>55</v>
      </c>
      <c r="P13" s="35" t="s">
        <v>55</v>
      </c>
      <c r="Q13" s="35"/>
      <c r="R13" s="35"/>
      <c r="S13" s="35"/>
      <c r="T13" s="35"/>
      <c r="U13" s="35"/>
      <c r="V13" s="35"/>
      <c r="W13" s="90"/>
      <c r="X13" s="90"/>
      <c r="Y13" s="90"/>
      <c r="Z13" s="90"/>
    </row>
    <row r="14" spans="1:26" x14ac:dyDescent="0.2">
      <c r="A14" s="36" t="s">
        <v>45</v>
      </c>
      <c r="B14" s="51">
        <f>B17/B5</f>
        <v>66.48863759822612</v>
      </c>
      <c r="C14" s="35">
        <f>'Э1 (СЗ)'!C14</f>
        <v>57.3</v>
      </c>
      <c r="D14" s="35">
        <f>IF(D12="С",C14*(1+ИДиР!$B$26/4),IF(D12="Э",MAX(C14*(1+ИДиР!$B$27/4),51),MAX(51,C14)))</f>
        <v>57.3</v>
      </c>
      <c r="E14" s="35">
        <f>IF(E12="С",D14*(1+ИДиР!$B$26/4),IF(E12="Э",MAX(D14*(1+ИДиР!$B$27/4),51),MAX(51,D14)))</f>
        <v>57.3</v>
      </c>
      <c r="F14" s="35">
        <f>IF(F12="С",E14*(1+ИДиР!$B$26/4),IF(F12="Э",MAX(E14*(1+ИДиР!$B$27/4),51),MAX(51,E14)))</f>
        <v>58.589249999999993</v>
      </c>
      <c r="G14" s="35">
        <f>IF(G12="С",F14*(1+ИДиР!$B$26/4),IF(G12="Э",MAX(F14*(1+ИДиР!$B$27/4),51),MAX(51,F14)))</f>
        <v>59.907508124999993</v>
      </c>
      <c r="H14" s="35">
        <f>IF(H12="С",G14*(1+ИДиР!$B$26/4),IF(H12="Э",MAX(G14*(1+ИДиР!$B$27/4),51),MAX(51,G14)))</f>
        <v>61.25542705781249</v>
      </c>
      <c r="I14" s="35">
        <f>IF(I12="С",H14*(1+ИДиР!$B$26/4),IF(I12="Э",MAX(H14*(1+ИДиР!$B$27/4),51),MAX(51,H14)))</f>
        <v>62.633674166613268</v>
      </c>
      <c r="J14" s="35">
        <f>IF(J12="С",I14*(1+ИДиР!$B$26/4),IF(J12="Э",MAX(I14*(1+ИДиР!$B$27/4),51),MAX(51,I14)))</f>
        <v>64.042931835362069</v>
      </c>
      <c r="K14" s="35">
        <f>IF(K12="С",J14*(1+ИДиР!$B$26/4),IF(K12="Э",MAX(J14*(1+ИДиР!$B$27/4),51),MAX(51,J14)))</f>
        <v>65.483897801657719</v>
      </c>
      <c r="L14" s="35">
        <f>IF(L12="С",K14*(1+ИДиР!$B$26/4),IF(L12="Э",MAX(K14*(1+ИДиР!$B$27/4),51),MAX(51,K14)))</f>
        <v>66.95728550219502</v>
      </c>
      <c r="M14" s="35">
        <f>IF(M12="С",L14*(1+ИДиР!$B$26/4),IF(M12="Э",MAX(L14*(1+ИДиР!$B$27/4),51),MAX(51,L14)))</f>
        <v>67.961644784727937</v>
      </c>
      <c r="N14" s="35">
        <f>IF(N12="С",M14*(1+ИДиР!$B$26/4),IF(N12="Э",MAX(M14*(1+ИДиР!$B$27/4),51),MAX(51,M14)))</f>
        <v>68.981069456498844</v>
      </c>
      <c r="O14" s="35">
        <f>IF(O12="С",N14*(1+ИДиР!$B$26/4),IF(O12="Э",MAX(N14*(1+ИДиР!$B$27/4),51),MAX(51,N14)))</f>
        <v>70.015785498346318</v>
      </c>
      <c r="P14" s="35">
        <f>IF(P12="С",O14*(1+ИДиР!$B$26/4),IF(P12="Э",MAX(O14*(1+ИДиР!$B$27/4),51),MAX(51,O14)))</f>
        <v>71.0660222808215</v>
      </c>
      <c r="Q14" s="35">
        <f>IF(Q12="С",P14*(1+ИДиР!$B$26/4),IF(Q12="Э",MAX(P14*(1+ИДиР!$B$27/4),51),MAX(51,P14)))</f>
        <v>71.0660222808215</v>
      </c>
      <c r="R14" s="35">
        <f>IF(R12="С",Q14*(1+ИДиР!$B$26/4),IF(R12="Э",MAX(Q14*(1+ИДиР!$B$27/4),51),MAX(51,Q14)))</f>
        <v>71.0660222808215</v>
      </c>
      <c r="S14" s="35">
        <f>IF(S12="С",R14*(1+ИДиР!$B$26/4),IF(S12="Э",MAX(R14*(1+ИДиР!$B$27/4),51),MAX(51,R14)))</f>
        <v>71.0660222808215</v>
      </c>
      <c r="T14" s="35">
        <f>IF(T12="С",S14*(1+ИДиР!$B$26/4),IF(T12="Э",MAX(S14*(1+ИДиР!$B$27/4),51),MAX(51,S14)))</f>
        <v>71.0660222808215</v>
      </c>
      <c r="U14" s="35">
        <f>IF(U12="С",T14*(1+ИДиР!$B$26/4),IF(U12="Э",MAX(T14*(1+ИДиР!$B$27/4),51),MAX(51,T14)))</f>
        <v>71.0660222808215</v>
      </c>
      <c r="V14" s="35">
        <f>IF(V12="С",U14*(1+ИДиР!$B$26/4),IF(V12="Э",MAX(U14*(1+ИДиР!$B$27/4),51),MAX(51,U14)))</f>
        <v>71.0660222808215</v>
      </c>
      <c r="W14" s="35">
        <f>'Свод (2)'!W9</f>
        <v>72.66500778213998</v>
      </c>
      <c r="X14" s="35">
        <f>'Свод (2)'!X9</f>
        <v>74.299970457238132</v>
      </c>
      <c r="Y14" s="35">
        <f>'Свод (2)'!Y9</f>
        <v>75.971719792525988</v>
      </c>
      <c r="Z14" s="35">
        <f>'Свод (2)'!Z9</f>
        <v>77.681083487857819</v>
      </c>
    </row>
    <row r="15" spans="1:26" x14ac:dyDescent="0.2">
      <c r="A15" s="36" t="s">
        <v>158</v>
      </c>
      <c r="B15" s="174">
        <f t="shared" ref="B15:B20" si="0">SUM(C15:Z15)</f>
        <v>11345.625</v>
      </c>
      <c r="C15" s="173">
        <f>IF(C13="Р",$B$5/COUNTIF(13:13,"Р"),0)</f>
        <v>0</v>
      </c>
      <c r="D15" s="173">
        <f t="shared" ref="D15:V15" si="1">IF(D13="Р",$B$5/COUNTIF(13:13,"Р"),0)</f>
        <v>0</v>
      </c>
      <c r="E15" s="173">
        <f t="shared" si="1"/>
        <v>0</v>
      </c>
      <c r="F15" s="173">
        <f t="shared" si="1"/>
        <v>0</v>
      </c>
      <c r="G15" s="173">
        <f t="shared" si="1"/>
        <v>0</v>
      </c>
      <c r="H15" s="173">
        <f t="shared" si="1"/>
        <v>1260.625</v>
      </c>
      <c r="I15" s="173">
        <f t="shared" si="1"/>
        <v>1260.625</v>
      </c>
      <c r="J15" s="173">
        <f t="shared" si="1"/>
        <v>1260.625</v>
      </c>
      <c r="K15" s="173">
        <f t="shared" si="1"/>
        <v>1260.625</v>
      </c>
      <c r="L15" s="173">
        <f t="shared" si="1"/>
        <v>1260.625</v>
      </c>
      <c r="M15" s="173">
        <f t="shared" si="1"/>
        <v>1260.625</v>
      </c>
      <c r="N15" s="173">
        <f t="shared" si="1"/>
        <v>1260.625</v>
      </c>
      <c r="O15" s="173">
        <f t="shared" si="1"/>
        <v>1260.625</v>
      </c>
      <c r="P15" s="173">
        <f t="shared" si="1"/>
        <v>1260.625</v>
      </c>
      <c r="Q15" s="173">
        <f t="shared" si="1"/>
        <v>0</v>
      </c>
      <c r="R15" s="173">
        <f t="shared" si="1"/>
        <v>0</v>
      </c>
      <c r="S15" s="173">
        <f t="shared" si="1"/>
        <v>0</v>
      </c>
      <c r="T15" s="173">
        <f t="shared" si="1"/>
        <v>0</v>
      </c>
      <c r="U15" s="173">
        <f t="shared" si="1"/>
        <v>0</v>
      </c>
      <c r="V15" s="173">
        <f t="shared" si="1"/>
        <v>0</v>
      </c>
      <c r="W15" s="35"/>
      <c r="X15" s="35"/>
      <c r="Y15" s="35"/>
      <c r="Z15" s="35"/>
    </row>
    <row r="16" spans="1:26" s="44" customFormat="1" x14ac:dyDescent="0.2">
      <c r="A16" s="43" t="s">
        <v>12</v>
      </c>
      <c r="B16" s="49">
        <f t="shared" si="0"/>
        <v>776017.93202986091</v>
      </c>
      <c r="C16" s="49">
        <f t="shared" ref="C16:Z16" si="2">SUM(C17:C20)</f>
        <v>0</v>
      </c>
      <c r="D16" s="49">
        <f t="shared" si="2"/>
        <v>0</v>
      </c>
      <c r="E16" s="49">
        <f t="shared" si="2"/>
        <v>0</v>
      </c>
      <c r="F16" s="49">
        <f t="shared" si="2"/>
        <v>10831.391539743354</v>
      </c>
      <c r="G16" s="49">
        <f t="shared" si="2"/>
        <v>10831.391539743354</v>
      </c>
      <c r="H16" s="49">
        <f t="shared" si="2"/>
        <v>77220.12273475487</v>
      </c>
      <c r="I16" s="49">
        <f t="shared" si="2"/>
        <v>78957.575496286852</v>
      </c>
      <c r="J16" s="49">
        <f t="shared" si="2"/>
        <v>80734.120944953305</v>
      </c>
      <c r="K16" s="49">
        <f t="shared" si="2"/>
        <v>82550.638666214756</v>
      </c>
      <c r="L16" s="49">
        <f t="shared" si="2"/>
        <v>84408.028036204589</v>
      </c>
      <c r="M16" s="49">
        <f t="shared" si="2"/>
        <v>85674.148456747658</v>
      </c>
      <c r="N16" s="49">
        <f t="shared" si="2"/>
        <v>86959.260683598855</v>
      </c>
      <c r="O16" s="49">
        <f t="shared" si="2"/>
        <v>88263.649593852824</v>
      </c>
      <c r="P16" s="49">
        <f t="shared" si="2"/>
        <v>89587.604337760597</v>
      </c>
      <c r="Q16" s="49">
        <f t="shared" si="2"/>
        <v>0</v>
      </c>
      <c r="R16" s="49">
        <f t="shared" si="2"/>
        <v>0</v>
      </c>
      <c r="S16" s="49">
        <f t="shared" si="2"/>
        <v>0</v>
      </c>
      <c r="T16" s="49">
        <f t="shared" si="2"/>
        <v>0</v>
      </c>
      <c r="U16" s="49">
        <f t="shared" si="2"/>
        <v>0</v>
      </c>
      <c r="V16" s="49">
        <f t="shared" si="2"/>
        <v>0</v>
      </c>
      <c r="W16" s="49">
        <f t="shared" si="2"/>
        <v>0</v>
      </c>
      <c r="X16" s="49">
        <f t="shared" si="2"/>
        <v>0</v>
      </c>
      <c r="Y16" s="49">
        <f t="shared" si="2"/>
        <v>0</v>
      </c>
      <c r="Z16" s="49">
        <f t="shared" si="2"/>
        <v>0</v>
      </c>
    </row>
    <row r="17" spans="1:26" x14ac:dyDescent="0.2">
      <c r="A17" s="9" t="s">
        <v>44</v>
      </c>
      <c r="B17" s="4">
        <f t="shared" si="0"/>
        <v>754355.14895037422</v>
      </c>
      <c r="C17" s="38">
        <f>IF(C13="Р",$B$5*C14/COUNTIF(13:13,"Р"),0)</f>
        <v>0</v>
      </c>
      <c r="D17" s="38">
        <f t="shared" ref="D17:V17" si="3">IF(D13="Р",$B$5*D14/COUNTIF(13:13,"Р"),0)</f>
        <v>0</v>
      </c>
      <c r="E17" s="38">
        <f t="shared" si="3"/>
        <v>0</v>
      </c>
      <c r="F17" s="38">
        <f t="shared" si="3"/>
        <v>0</v>
      </c>
      <c r="G17" s="38">
        <f t="shared" si="3"/>
        <v>0</v>
      </c>
      <c r="H17" s="38">
        <f t="shared" si="3"/>
        <v>77220.12273475487</v>
      </c>
      <c r="I17" s="38">
        <f t="shared" si="3"/>
        <v>78957.575496286852</v>
      </c>
      <c r="J17" s="38">
        <f t="shared" si="3"/>
        <v>80734.120944953305</v>
      </c>
      <c r="K17" s="38">
        <f t="shared" si="3"/>
        <v>82550.638666214756</v>
      </c>
      <c r="L17" s="38">
        <f t="shared" si="3"/>
        <v>84408.028036204589</v>
      </c>
      <c r="M17" s="38">
        <f t="shared" si="3"/>
        <v>85674.148456747658</v>
      </c>
      <c r="N17" s="38">
        <f t="shared" si="3"/>
        <v>86959.260683598855</v>
      </c>
      <c r="O17" s="38">
        <f t="shared" si="3"/>
        <v>88263.649593852824</v>
      </c>
      <c r="P17" s="38">
        <f t="shared" si="3"/>
        <v>89587.604337760597</v>
      </c>
      <c r="Q17" s="38">
        <f t="shared" si="3"/>
        <v>0</v>
      </c>
      <c r="R17" s="38">
        <f t="shared" si="3"/>
        <v>0</v>
      </c>
      <c r="S17" s="38">
        <f t="shared" si="3"/>
        <v>0</v>
      </c>
      <c r="T17" s="38">
        <f t="shared" si="3"/>
        <v>0</v>
      </c>
      <c r="U17" s="38">
        <f t="shared" si="3"/>
        <v>0</v>
      </c>
      <c r="V17" s="38">
        <f t="shared" si="3"/>
        <v>0</v>
      </c>
      <c r="W17" s="38">
        <f t="shared" ref="W17:Z17" si="4">IF(W13="Р",$B$5*W14/COUNTIF(13:13,"Р"),0)</f>
        <v>0</v>
      </c>
      <c r="X17" s="38">
        <f t="shared" si="4"/>
        <v>0</v>
      </c>
      <c r="Y17" s="38">
        <f t="shared" si="4"/>
        <v>0</v>
      </c>
      <c r="Z17" s="38">
        <f t="shared" si="4"/>
        <v>0</v>
      </c>
    </row>
    <row r="18" spans="1:26" x14ac:dyDescent="0.2">
      <c r="A18" s="9" t="s">
        <v>39</v>
      </c>
      <c r="B18" s="4">
        <f t="shared" si="0"/>
        <v>0</v>
      </c>
      <c r="C18" s="39">
        <f>B44*'ИДиР (2)'!$B$22/4</f>
        <v>0</v>
      </c>
      <c r="D18" s="39">
        <f>C44*'ИДиР (2)'!$B$22/4</f>
        <v>0</v>
      </c>
      <c r="E18" s="39">
        <f>D44*'ИДиР (2)'!$B$22/4</f>
        <v>0</v>
      </c>
      <c r="F18" s="39">
        <f>E44*'ИДиР (2)'!$B$22/4</f>
        <v>0</v>
      </c>
      <c r="G18" s="39">
        <f>F44*'ИДиР (2)'!$B$22/4</f>
        <v>0</v>
      </c>
      <c r="H18" s="39">
        <f>G44*'ИДиР (2)'!$B$22/4</f>
        <v>0</v>
      </c>
      <c r="I18" s="39">
        <f>H44*'ИДиР (2)'!$B$22/4</f>
        <v>0</v>
      </c>
      <c r="J18" s="39">
        <f>I44*'ИДиР (2)'!$B$22/4</f>
        <v>0</v>
      </c>
      <c r="K18" s="39">
        <f>J44*'ИДиР (2)'!$B$22/4</f>
        <v>0</v>
      </c>
      <c r="L18" s="39">
        <f>K44*'ИДиР (2)'!$B$22/4</f>
        <v>0</v>
      </c>
      <c r="M18" s="39">
        <f>L44*'ИДиР (2)'!$B$22/4</f>
        <v>0</v>
      </c>
      <c r="N18" s="39">
        <f>M44*'ИДиР (2)'!$B$22/4</f>
        <v>0</v>
      </c>
      <c r="O18" s="39">
        <f>N44*'ИДиР (2)'!$B$22/4</f>
        <v>0</v>
      </c>
      <c r="P18" s="39">
        <f>O44*'ИДиР (2)'!$B$22/4</f>
        <v>0</v>
      </c>
      <c r="Q18" s="39">
        <f>P44*'ИДиР (2)'!$B$22/4</f>
        <v>0</v>
      </c>
      <c r="R18" s="39">
        <f>Q44*'ИДиР (2)'!$B$22/4</f>
        <v>0</v>
      </c>
      <c r="S18" s="39">
        <f>R44*'ИДиР (2)'!$B$22/4</f>
        <v>0</v>
      </c>
      <c r="T18" s="39">
        <f>S44*'ИДиР (2)'!$B$22/4</f>
        <v>0</v>
      </c>
      <c r="U18" s="39">
        <f>T44*'ИДиР (2)'!$B$22/4</f>
        <v>0</v>
      </c>
      <c r="V18" s="39">
        <f>U44*'ИДиР (2)'!$B$22/4</f>
        <v>0</v>
      </c>
      <c r="W18" s="39">
        <f>V44*'ИДиР (2)'!$B$22/4</f>
        <v>0</v>
      </c>
      <c r="X18" s="39">
        <f>W44*'ИДиР (2)'!$B$22/4</f>
        <v>0</v>
      </c>
      <c r="Y18" s="39">
        <f>X44*'ИДиР (2)'!$B$22/4</f>
        <v>0</v>
      </c>
      <c r="Z18" s="39">
        <f>Y44*'ИДиР (2)'!$B$22/4</f>
        <v>0</v>
      </c>
    </row>
    <row r="19" spans="1:26" x14ac:dyDescent="0.2">
      <c r="A19" s="9" t="s">
        <v>20</v>
      </c>
      <c r="B19" s="4">
        <f t="shared" si="0"/>
        <v>10884.439329486708</v>
      </c>
      <c r="C19" s="38"/>
      <c r="D19" s="38"/>
      <c r="E19" s="38">
        <f t="shared" ref="E19:F19" si="5">IF(E13="У",-E22-E20,0)</f>
        <v>0</v>
      </c>
      <c r="F19" s="38">
        <f t="shared" si="5"/>
        <v>5442.2196647433539</v>
      </c>
      <c r="G19" s="38">
        <f>IF(G13="У",-G22-G20,0)</f>
        <v>5442.2196647433539</v>
      </c>
      <c r="H19" s="38">
        <f t="shared" ref="H19:Z19" si="6">IF(H13="У",-H22-H20,0)</f>
        <v>0</v>
      </c>
      <c r="I19" s="38">
        <f t="shared" si="6"/>
        <v>0</v>
      </c>
      <c r="J19" s="38">
        <f t="shared" si="6"/>
        <v>0</v>
      </c>
      <c r="K19" s="38">
        <f t="shared" si="6"/>
        <v>0</v>
      </c>
      <c r="L19" s="38">
        <f t="shared" si="6"/>
        <v>0</v>
      </c>
      <c r="M19" s="38">
        <f t="shared" si="6"/>
        <v>0</v>
      </c>
      <c r="N19" s="38">
        <f t="shared" si="6"/>
        <v>0</v>
      </c>
      <c r="O19" s="38">
        <f t="shared" si="6"/>
        <v>0</v>
      </c>
      <c r="P19" s="38">
        <f t="shared" si="6"/>
        <v>0</v>
      </c>
      <c r="Q19" s="38">
        <f t="shared" si="6"/>
        <v>0</v>
      </c>
      <c r="R19" s="38">
        <f t="shared" si="6"/>
        <v>0</v>
      </c>
      <c r="S19" s="38">
        <f t="shared" si="6"/>
        <v>0</v>
      </c>
      <c r="T19" s="38">
        <f t="shared" si="6"/>
        <v>0</v>
      </c>
      <c r="U19" s="38">
        <f t="shared" si="6"/>
        <v>0</v>
      </c>
      <c r="V19" s="38">
        <f t="shared" si="6"/>
        <v>0</v>
      </c>
      <c r="W19" s="38">
        <f t="shared" si="6"/>
        <v>0</v>
      </c>
      <c r="X19" s="38">
        <f t="shared" si="6"/>
        <v>0</v>
      </c>
      <c r="Y19" s="38">
        <f t="shared" si="6"/>
        <v>0</v>
      </c>
      <c r="Z19" s="38">
        <f t="shared" si="6"/>
        <v>0</v>
      </c>
    </row>
    <row r="20" spans="1:26" x14ac:dyDescent="0.2">
      <c r="A20" s="9" t="s">
        <v>21</v>
      </c>
      <c r="B20" s="4">
        <f t="shared" si="0"/>
        <v>10778.34375</v>
      </c>
      <c r="C20" s="38"/>
      <c r="D20" s="38"/>
      <c r="E20" s="38">
        <f t="shared" ref="E20:Z20" si="7">IF(E13="У",$B$7*$B$8/COUNTIF(13:13,"У"),0)</f>
        <v>0</v>
      </c>
      <c r="F20" s="38">
        <f t="shared" si="7"/>
        <v>5389.171875</v>
      </c>
      <c r="G20" s="38">
        <f t="shared" si="7"/>
        <v>5389.171875</v>
      </c>
      <c r="H20" s="38">
        <f t="shared" si="7"/>
        <v>0</v>
      </c>
      <c r="I20" s="38">
        <f t="shared" si="7"/>
        <v>0</v>
      </c>
      <c r="J20" s="38">
        <f t="shared" si="7"/>
        <v>0</v>
      </c>
      <c r="K20" s="38">
        <f t="shared" si="7"/>
        <v>0</v>
      </c>
      <c r="L20" s="38">
        <f t="shared" si="7"/>
        <v>0</v>
      </c>
      <c r="M20" s="38">
        <f t="shared" si="7"/>
        <v>0</v>
      </c>
      <c r="N20" s="38">
        <f t="shared" si="7"/>
        <v>0</v>
      </c>
      <c r="O20" s="38">
        <f t="shared" si="7"/>
        <v>0</v>
      </c>
      <c r="P20" s="38">
        <f t="shared" si="7"/>
        <v>0</v>
      </c>
      <c r="Q20" s="38">
        <f t="shared" si="7"/>
        <v>0</v>
      </c>
      <c r="R20" s="38">
        <f t="shared" si="7"/>
        <v>0</v>
      </c>
      <c r="S20" s="38">
        <f t="shared" si="7"/>
        <v>0</v>
      </c>
      <c r="T20" s="38">
        <f t="shared" si="7"/>
        <v>0</v>
      </c>
      <c r="U20" s="38">
        <f t="shared" si="7"/>
        <v>0</v>
      </c>
      <c r="V20" s="38">
        <f t="shared" si="7"/>
        <v>0</v>
      </c>
      <c r="W20" s="38">
        <f t="shared" si="7"/>
        <v>0</v>
      </c>
      <c r="X20" s="38">
        <f t="shared" si="7"/>
        <v>0</v>
      </c>
      <c r="Y20" s="38">
        <f t="shared" si="7"/>
        <v>0</v>
      </c>
      <c r="Z20" s="38">
        <f t="shared" si="7"/>
        <v>0</v>
      </c>
    </row>
    <row r="21" spans="1:26" s="28" customFormat="1" x14ac:dyDescent="0.2">
      <c r="A21" s="29" t="s">
        <v>22</v>
      </c>
      <c r="B21" s="65"/>
      <c r="C21" s="42">
        <f t="shared" ref="C21:Z21" si="8">B21+C20+C26</f>
        <v>0</v>
      </c>
      <c r="D21" s="42">
        <f t="shared" si="8"/>
        <v>0</v>
      </c>
      <c r="E21" s="42">
        <f t="shared" si="8"/>
        <v>0</v>
      </c>
      <c r="F21" s="42">
        <f t="shared" si="8"/>
        <v>5389.171875</v>
      </c>
      <c r="G21" s="42">
        <f t="shared" si="8"/>
        <v>10778.34375</v>
      </c>
      <c r="H21" s="42">
        <f t="shared" si="8"/>
        <v>10778.34375</v>
      </c>
      <c r="I21" s="42">
        <f t="shared" si="8"/>
        <v>10778.34375</v>
      </c>
      <c r="J21" s="42">
        <f t="shared" si="8"/>
        <v>10778.34375</v>
      </c>
      <c r="K21" s="42">
        <f t="shared" si="8"/>
        <v>10778.34375</v>
      </c>
      <c r="L21" s="42">
        <f t="shared" si="8"/>
        <v>10778.34375</v>
      </c>
      <c r="M21" s="42">
        <f t="shared" si="8"/>
        <v>10778.34375</v>
      </c>
      <c r="N21" s="42">
        <f t="shared" si="8"/>
        <v>0</v>
      </c>
      <c r="O21" s="42">
        <f t="shared" si="8"/>
        <v>0</v>
      </c>
      <c r="P21" s="42">
        <f t="shared" si="8"/>
        <v>0</v>
      </c>
      <c r="Q21" s="42">
        <f t="shared" si="8"/>
        <v>0</v>
      </c>
      <c r="R21" s="42">
        <f t="shared" si="8"/>
        <v>0</v>
      </c>
      <c r="S21" s="42">
        <f t="shared" si="8"/>
        <v>0</v>
      </c>
      <c r="T21" s="42">
        <f t="shared" si="8"/>
        <v>0</v>
      </c>
      <c r="U21" s="42">
        <f t="shared" si="8"/>
        <v>0</v>
      </c>
      <c r="V21" s="42">
        <f t="shared" si="8"/>
        <v>0</v>
      </c>
      <c r="W21" s="42">
        <f t="shared" si="8"/>
        <v>0</v>
      </c>
      <c r="X21" s="42">
        <f t="shared" si="8"/>
        <v>0</v>
      </c>
      <c r="Y21" s="42">
        <f t="shared" si="8"/>
        <v>0</v>
      </c>
      <c r="Z21" s="42">
        <f t="shared" si="8"/>
        <v>0</v>
      </c>
    </row>
    <row r="22" spans="1:26" s="44" customFormat="1" x14ac:dyDescent="0.2">
      <c r="A22" s="43" t="s">
        <v>13</v>
      </c>
      <c r="B22" s="49">
        <f t="shared" ref="B22:B29" si="9">SUM(C22:Z22)</f>
        <v>-487303.58408581023</v>
      </c>
      <c r="C22" s="49">
        <f t="shared" ref="C22:V22" si="10">SUM(C23:C29)</f>
        <v>0</v>
      </c>
      <c r="D22" s="49">
        <f t="shared" si="10"/>
        <v>0</v>
      </c>
      <c r="E22" s="49">
        <f t="shared" si="10"/>
        <v>0</v>
      </c>
      <c r="F22" s="49">
        <f t="shared" si="10"/>
        <v>-10831.391539743354</v>
      </c>
      <c r="G22" s="49">
        <f t="shared" si="10"/>
        <v>-10831.391539743354</v>
      </c>
      <c r="H22" s="49">
        <f t="shared" si="10"/>
        <v>-88777.902906744595</v>
      </c>
      <c r="I22" s="49">
        <f t="shared" si="10"/>
        <v>-85971.077375459412</v>
      </c>
      <c r="J22" s="49">
        <f t="shared" si="10"/>
        <v>-87168.915525115648</v>
      </c>
      <c r="K22" s="49">
        <f t="shared" si="10"/>
        <v>-88375.292255856853</v>
      </c>
      <c r="L22" s="49">
        <f t="shared" si="10"/>
        <v>-89589.939366325372</v>
      </c>
      <c r="M22" s="49">
        <f t="shared" si="10"/>
        <v>-7662.180081392321</v>
      </c>
      <c r="N22" s="49">
        <f t="shared" si="10"/>
        <v>-14538.468416796977</v>
      </c>
      <c r="O22" s="49">
        <f t="shared" si="10"/>
        <v>-1765.2729918770565</v>
      </c>
      <c r="P22" s="49">
        <f t="shared" si="10"/>
        <v>-1791.7520867552121</v>
      </c>
      <c r="Q22" s="49">
        <f t="shared" si="10"/>
        <v>0</v>
      </c>
      <c r="R22" s="49">
        <f t="shared" si="10"/>
        <v>0</v>
      </c>
      <c r="S22" s="49">
        <f t="shared" si="10"/>
        <v>0</v>
      </c>
      <c r="T22" s="49">
        <f t="shared" si="10"/>
        <v>0</v>
      </c>
      <c r="U22" s="49">
        <f t="shared" si="10"/>
        <v>0</v>
      </c>
      <c r="V22" s="49">
        <f t="shared" si="10"/>
        <v>0</v>
      </c>
      <c r="W22" s="49">
        <f t="shared" ref="W22:Z22" si="11">SUM(W23:W27)</f>
        <v>0</v>
      </c>
      <c r="X22" s="49">
        <f t="shared" si="11"/>
        <v>0</v>
      </c>
      <c r="Y22" s="49">
        <f t="shared" si="11"/>
        <v>0</v>
      </c>
      <c r="Z22" s="49">
        <f t="shared" si="11"/>
        <v>0</v>
      </c>
    </row>
    <row r="23" spans="1:26" x14ac:dyDescent="0.2">
      <c r="A23" s="9" t="s">
        <v>23</v>
      </c>
      <c r="B23" s="4">
        <f t="shared" si="9"/>
        <v>-431133.75</v>
      </c>
      <c r="C23" s="38"/>
      <c r="D23" s="38"/>
      <c r="E23" s="38">
        <f t="shared" ref="E23:Z23" si="12">IF(E12="С",IF(E13="У",-$B$7/COUNTIF(13:13,"У"),-($B$6-$B$7)/(COUNTIF(12:12,"С")-COUNTIF(13:13,"У"))),0)</f>
        <v>0</v>
      </c>
      <c r="F23" s="38">
        <f t="shared" si="12"/>
        <v>-10778.34375</v>
      </c>
      <c r="G23" s="38">
        <f t="shared" si="12"/>
        <v>-10778.34375</v>
      </c>
      <c r="H23" s="38">
        <f t="shared" si="12"/>
        <v>-81915.412500000006</v>
      </c>
      <c r="I23" s="38">
        <f t="shared" si="12"/>
        <v>-81915.412500000006</v>
      </c>
      <c r="J23" s="38">
        <f t="shared" si="12"/>
        <v>-81915.412500000006</v>
      </c>
      <c r="K23" s="38">
        <f t="shared" si="12"/>
        <v>-81915.412500000006</v>
      </c>
      <c r="L23" s="38">
        <f t="shared" si="12"/>
        <v>-81915.412500000006</v>
      </c>
      <c r="M23" s="38">
        <f t="shared" si="12"/>
        <v>0</v>
      </c>
      <c r="N23" s="38">
        <f t="shared" si="12"/>
        <v>0</v>
      </c>
      <c r="O23" s="38">
        <f t="shared" si="12"/>
        <v>0</v>
      </c>
      <c r="P23" s="38">
        <f t="shared" si="12"/>
        <v>0</v>
      </c>
      <c r="Q23" s="38">
        <f t="shared" si="12"/>
        <v>0</v>
      </c>
      <c r="R23" s="38">
        <f t="shared" si="12"/>
        <v>0</v>
      </c>
      <c r="S23" s="38">
        <f t="shared" si="12"/>
        <v>0</v>
      </c>
      <c r="T23" s="38">
        <f t="shared" si="12"/>
        <v>0</v>
      </c>
      <c r="U23" s="38">
        <f t="shared" si="12"/>
        <v>0</v>
      </c>
      <c r="V23" s="38">
        <f t="shared" si="12"/>
        <v>0</v>
      </c>
      <c r="W23" s="38">
        <f t="shared" si="12"/>
        <v>0</v>
      </c>
      <c r="X23" s="38">
        <f t="shared" si="12"/>
        <v>0</v>
      </c>
      <c r="Y23" s="38">
        <f t="shared" si="12"/>
        <v>0</v>
      </c>
      <c r="Z23" s="38">
        <f t="shared" si="12"/>
        <v>0</v>
      </c>
    </row>
    <row r="24" spans="1:26" x14ac:dyDescent="0.2">
      <c r="A24" s="9" t="s">
        <v>145</v>
      </c>
      <c r="B24" s="4">
        <f>SUM(C24:Z24)</f>
        <v>-17209.014568741655</v>
      </c>
      <c r="C24" s="38">
        <f t="shared" ref="C24:R24" si="13">-C17*2%+C23*$R$1</f>
        <v>0</v>
      </c>
      <c r="D24" s="38">
        <f t="shared" si="13"/>
        <v>0</v>
      </c>
      <c r="E24" s="38">
        <f t="shared" si="13"/>
        <v>0</v>
      </c>
      <c r="F24" s="38">
        <f t="shared" si="13"/>
        <v>-53.047789743354194</v>
      </c>
      <c r="G24" s="38">
        <f t="shared" si="13"/>
        <v>-53.047789743354194</v>
      </c>
      <c r="H24" s="38">
        <f t="shared" si="13"/>
        <v>-1947.5656567445894</v>
      </c>
      <c r="I24" s="38">
        <f t="shared" si="13"/>
        <v>-1982.3147119752291</v>
      </c>
      <c r="J24" s="38">
        <f t="shared" si="13"/>
        <v>-2017.845620948558</v>
      </c>
      <c r="K24" s="38">
        <f t="shared" si="13"/>
        <v>-2054.175975373787</v>
      </c>
      <c r="L24" s="38">
        <f t="shared" si="13"/>
        <v>-2091.3237627735834</v>
      </c>
      <c r="M24" s="38">
        <f t="shared" si="13"/>
        <v>-1713.4829691349532</v>
      </c>
      <c r="N24" s="38">
        <f t="shared" si="13"/>
        <v>-1739.1852136719772</v>
      </c>
      <c r="O24" s="38">
        <f t="shared" si="13"/>
        <v>-1765.2729918770565</v>
      </c>
      <c r="P24" s="38">
        <f t="shared" si="13"/>
        <v>-1791.7520867552121</v>
      </c>
      <c r="Q24" s="38">
        <f t="shared" si="13"/>
        <v>0</v>
      </c>
      <c r="R24" s="38">
        <f t="shared" si="13"/>
        <v>0</v>
      </c>
      <c r="S24" s="38">
        <f t="shared" ref="S24:Z24" si="14">-S17*2%+S23*0.5933%</f>
        <v>0</v>
      </c>
      <c r="T24" s="38">
        <f t="shared" si="14"/>
        <v>0</v>
      </c>
      <c r="U24" s="38">
        <f t="shared" si="14"/>
        <v>0</v>
      </c>
      <c r="V24" s="38">
        <f t="shared" si="14"/>
        <v>0</v>
      </c>
      <c r="W24" s="38">
        <f t="shared" si="14"/>
        <v>0</v>
      </c>
      <c r="X24" s="38">
        <f t="shared" si="14"/>
        <v>0</v>
      </c>
      <c r="Y24" s="38">
        <f t="shared" si="14"/>
        <v>0</v>
      </c>
      <c r="Z24" s="38">
        <f t="shared" si="14"/>
        <v>0</v>
      </c>
    </row>
    <row r="25" spans="1:26" x14ac:dyDescent="0.2">
      <c r="A25" s="9" t="s">
        <v>46</v>
      </c>
      <c r="B25" s="4">
        <f t="shared" si="9"/>
        <v>-17969.995063943468</v>
      </c>
      <c r="C25" s="38">
        <f t="shared" ref="C25:G25" si="15">-B37*C39/4</f>
        <v>0</v>
      </c>
      <c r="D25" s="38">
        <f t="shared" si="15"/>
        <v>0</v>
      </c>
      <c r="E25" s="38">
        <f t="shared" si="15"/>
        <v>0</v>
      </c>
      <c r="F25" s="38">
        <f t="shared" si="15"/>
        <v>0</v>
      </c>
      <c r="G25" s="38">
        <f t="shared" si="15"/>
        <v>0</v>
      </c>
      <c r="H25" s="38">
        <f>-G37*H39/4</f>
        <v>0</v>
      </c>
      <c r="I25" s="38">
        <f t="shared" ref="I25:V25" si="16">-H37*I39/4</f>
        <v>-1254.1960384841791</v>
      </c>
      <c r="J25" s="38">
        <f t="shared" si="16"/>
        <v>-2416.5032791670783</v>
      </c>
      <c r="K25" s="38">
        <f t="shared" si="16"/>
        <v>-3586.5496554830538</v>
      </c>
      <c r="L25" s="38">
        <f t="shared" si="16"/>
        <v>-4764.0489785517893</v>
      </c>
      <c r="M25" s="38">
        <f t="shared" si="16"/>
        <v>-5948.6971122573677</v>
      </c>
      <c r="N25" s="38">
        <f t="shared" si="16"/>
        <v>0</v>
      </c>
      <c r="O25" s="38">
        <f t="shared" si="16"/>
        <v>0</v>
      </c>
      <c r="P25" s="38">
        <f t="shared" si="16"/>
        <v>0</v>
      </c>
      <c r="Q25" s="38">
        <f t="shared" si="16"/>
        <v>0</v>
      </c>
      <c r="R25" s="38">
        <f t="shared" si="16"/>
        <v>0</v>
      </c>
      <c r="S25" s="38">
        <f t="shared" si="16"/>
        <v>0</v>
      </c>
      <c r="T25" s="38">
        <f t="shared" si="16"/>
        <v>0</v>
      </c>
      <c r="U25" s="38">
        <f t="shared" si="16"/>
        <v>0</v>
      </c>
      <c r="V25" s="38">
        <f t="shared" si="16"/>
        <v>0</v>
      </c>
      <c r="W25" s="38">
        <f>-V38*'ИДиР (2)'!$B$20/4-(V37-V38)*'ИДиР (2)'!$B$21/4</f>
        <v>0</v>
      </c>
      <c r="X25" s="38">
        <f>-W38*'ИДиР (2)'!$B$20/4-(W37-W38)*'ИДиР (2)'!$B$21/4</f>
        <v>0</v>
      </c>
      <c r="Y25" s="38">
        <f>-X38*'ИДиР (2)'!$B$20/4-(X37-X38)*'ИДиР (2)'!$B$21/4</f>
        <v>0</v>
      </c>
      <c r="Z25" s="38">
        <f>-Y38*'ИДиР (2)'!$B$20/4-(Y37-Y38)*'ИДиР (2)'!$B$21/4</f>
        <v>0</v>
      </c>
    </row>
    <row r="26" spans="1:26" x14ac:dyDescent="0.2">
      <c r="A26" s="9" t="s">
        <v>24</v>
      </c>
      <c r="B26" s="4">
        <f t="shared" si="9"/>
        <v>-10778.34375</v>
      </c>
      <c r="C26" s="38"/>
      <c r="D26" s="38"/>
      <c r="E26" s="38">
        <f t="shared" ref="E26:Z26" si="17">IF(AND(E12="Э",D21&gt;0,D37=0),-$B$20,0)</f>
        <v>0</v>
      </c>
      <c r="F26" s="38">
        <f t="shared" si="17"/>
        <v>0</v>
      </c>
      <c r="G26" s="38">
        <f t="shared" si="17"/>
        <v>0</v>
      </c>
      <c r="H26" s="38">
        <f t="shared" si="17"/>
        <v>0</v>
      </c>
      <c r="I26" s="38">
        <f t="shared" si="17"/>
        <v>0</v>
      </c>
      <c r="J26" s="38">
        <f t="shared" si="17"/>
        <v>0</v>
      </c>
      <c r="K26" s="38">
        <f t="shared" si="17"/>
        <v>0</v>
      </c>
      <c r="L26" s="38">
        <f t="shared" si="17"/>
        <v>0</v>
      </c>
      <c r="M26" s="38">
        <f t="shared" si="17"/>
        <v>0</v>
      </c>
      <c r="N26" s="38">
        <f t="shared" si="17"/>
        <v>-10778.34375</v>
      </c>
      <c r="O26" s="38">
        <f t="shared" si="17"/>
        <v>0</v>
      </c>
      <c r="P26" s="38">
        <f t="shared" si="17"/>
        <v>0</v>
      </c>
      <c r="Q26" s="38">
        <f t="shared" si="17"/>
        <v>0</v>
      </c>
      <c r="R26" s="38">
        <f t="shared" si="17"/>
        <v>0</v>
      </c>
      <c r="S26" s="38">
        <f t="shared" si="17"/>
        <v>0</v>
      </c>
      <c r="T26" s="38">
        <f t="shared" si="17"/>
        <v>0</v>
      </c>
      <c r="U26" s="38">
        <f t="shared" si="17"/>
        <v>0</v>
      </c>
      <c r="V26" s="38">
        <f t="shared" si="17"/>
        <v>0</v>
      </c>
      <c r="W26" s="38">
        <f t="shared" si="17"/>
        <v>0</v>
      </c>
      <c r="X26" s="38">
        <f t="shared" si="17"/>
        <v>0</v>
      </c>
      <c r="Y26" s="38">
        <f t="shared" si="17"/>
        <v>0</v>
      </c>
      <c r="Z26" s="38">
        <f t="shared" si="17"/>
        <v>0</v>
      </c>
    </row>
    <row r="27" spans="1:26" x14ac:dyDescent="0.2">
      <c r="A27" s="9" t="s">
        <v>25</v>
      </c>
      <c r="B27" s="4">
        <f t="shared" si="9"/>
        <v>-2020.939453125</v>
      </c>
      <c r="C27" s="38"/>
      <c r="D27" s="38"/>
      <c r="E27" s="38">
        <f>IF(E26&lt;0,-SUM($C21:E21)*7.5%*1.25/4,0)</f>
        <v>0</v>
      </c>
      <c r="F27" s="38">
        <f>IF(F26&lt;0,-SUM($C21:F21)*7.5%*1.25/4,0)</f>
        <v>0</v>
      </c>
      <c r="G27" s="38">
        <f>IF(G26&lt;0,-SUM($C21:G21)*'ИДиР (2)'!$B$19/4,0)</f>
        <v>0</v>
      </c>
      <c r="H27" s="38">
        <f>IF(H26&lt;0,-SUM($C21:H21)*'ИДиР (2)'!$B$19/4,0)</f>
        <v>0</v>
      </c>
      <c r="I27" s="38">
        <f>IF(I26&lt;0,-SUM($C21:I21)*'ИДиР (2)'!$B$19/4,0)</f>
        <v>0</v>
      </c>
      <c r="J27" s="38">
        <f>IF(J26&lt;0,-SUM($C21:J21)*'ИДиР (2)'!$B$19/4,0)</f>
        <v>0</v>
      </c>
      <c r="K27" s="38">
        <f>IF(K26&lt;0,-SUM($C21:K21)*'ИДиР (2)'!$B$19/4,0)</f>
        <v>0</v>
      </c>
      <c r="L27" s="38">
        <f>IF(L26&lt;0,-SUM($C21:L21)*'ИДиР (2)'!$B$19/4,0)</f>
        <v>0</v>
      </c>
      <c r="M27" s="38">
        <f>IF(M26&lt;0,-SUM($C21:M21)*'ИДиР (2)'!$B$19/4,0)</f>
        <v>0</v>
      </c>
      <c r="N27" s="38">
        <f>IF(N26&lt;0,-SUM($C21:N21)*'ИДиР (2)'!$B$19/4,0)</f>
        <v>-2020.939453125</v>
      </c>
      <c r="O27" s="38">
        <f>IF(O26&lt;0,-SUM($C21:O21)*'ИДиР (2)'!$B$19/4,0)</f>
        <v>0</v>
      </c>
      <c r="P27" s="38">
        <f>IF(P26&lt;0,-SUM($C21:P21)*'ИДиР (2)'!$B$19/4,0)</f>
        <v>0</v>
      </c>
      <c r="Q27" s="38">
        <f>IF(Q26&lt;0,-SUM($C21:Q21)*'ИДиР (2)'!$B$19/4,0)</f>
        <v>0</v>
      </c>
      <c r="R27" s="38">
        <f>IF(R26&lt;0,-SUM($C21:R21)*'ИДиР (2)'!$B$19/4,0)</f>
        <v>0</v>
      </c>
      <c r="S27" s="38">
        <f>IF(S26&lt;0,-SUM($C21:S21)*'ИДиР (2)'!$B$19/4,0)</f>
        <v>0</v>
      </c>
      <c r="T27" s="38">
        <f>IF(T26&lt;0,-SUM($C21:T21)*'ИДиР (2)'!$B$19/4,0)</f>
        <v>0</v>
      </c>
      <c r="U27" s="38">
        <f>IF(U26&lt;0,-SUM($C21:U21)*'ИДиР (2)'!$B$19/4,0)</f>
        <v>0</v>
      </c>
      <c r="V27" s="38">
        <f>IF(V26&lt;0,-SUM($C21:V21)*'ИДиР (2)'!$B$19/4,0)</f>
        <v>0</v>
      </c>
      <c r="W27" s="38">
        <f>IF(W26&lt;0,-SUM($C21:W21)*'ИДиР (2)'!$B$19/4,0)</f>
        <v>0</v>
      </c>
      <c r="X27" s="38">
        <f>IF(X26&lt;0,-SUM($C21:X21)*'ИДиР (2)'!$B$19/4,0)</f>
        <v>0</v>
      </c>
      <c r="Y27" s="38">
        <f>IF(Y26&lt;0,-SUM($C21:Y21)*'ИДиР (2)'!$B$19/4,0)</f>
        <v>0</v>
      </c>
      <c r="Z27" s="38">
        <f>IF(Z26&lt;0,-SUM($C21:Z21)*'ИДиР (2)'!$B$19/4,0)</f>
        <v>0</v>
      </c>
    </row>
    <row r="28" spans="1:26" x14ac:dyDescent="0.2">
      <c r="A28" s="9" t="s">
        <v>126</v>
      </c>
      <c r="B28" s="4">
        <f t="shared" si="9"/>
        <v>-4095.7706250000001</v>
      </c>
      <c r="C28" s="38"/>
      <c r="D28" s="38">
        <f t="shared" ref="D28:V28" si="18">IF(D13="Р",IF(AND(D13="Р",D12="С"),D23*1%,0),0)</f>
        <v>0</v>
      </c>
      <c r="E28" s="38">
        <f t="shared" si="18"/>
        <v>0</v>
      </c>
      <c r="F28" s="38">
        <f t="shared" si="18"/>
        <v>0</v>
      </c>
      <c r="G28" s="38">
        <f t="shared" si="18"/>
        <v>0</v>
      </c>
      <c r="H28" s="38">
        <f t="shared" si="18"/>
        <v>-819.15412500000002</v>
      </c>
      <c r="I28" s="38">
        <f t="shared" si="18"/>
        <v>-819.15412500000002</v>
      </c>
      <c r="J28" s="38">
        <f t="shared" si="18"/>
        <v>-819.15412500000002</v>
      </c>
      <c r="K28" s="38">
        <f t="shared" si="18"/>
        <v>-819.15412500000002</v>
      </c>
      <c r="L28" s="38">
        <f t="shared" si="18"/>
        <v>-819.15412500000002</v>
      </c>
      <c r="M28" s="38">
        <f t="shared" si="18"/>
        <v>0</v>
      </c>
      <c r="N28" s="38">
        <f t="shared" si="18"/>
        <v>0</v>
      </c>
      <c r="O28" s="38">
        <f t="shared" si="18"/>
        <v>0</v>
      </c>
      <c r="P28" s="38">
        <f t="shared" si="18"/>
        <v>0</v>
      </c>
      <c r="Q28" s="38">
        <f t="shared" si="18"/>
        <v>0</v>
      </c>
      <c r="R28" s="38">
        <f t="shared" si="18"/>
        <v>0</v>
      </c>
      <c r="S28" s="38">
        <f t="shared" si="18"/>
        <v>0</v>
      </c>
      <c r="T28" s="38">
        <f t="shared" si="18"/>
        <v>0</v>
      </c>
      <c r="U28" s="38">
        <f t="shared" si="18"/>
        <v>0</v>
      </c>
      <c r="V28" s="38">
        <f t="shared" si="18"/>
        <v>0</v>
      </c>
      <c r="W28" s="38"/>
      <c r="X28" s="38"/>
      <c r="Y28" s="38"/>
      <c r="Z28" s="38"/>
    </row>
    <row r="29" spans="1:26" x14ac:dyDescent="0.2">
      <c r="A29" s="9" t="s">
        <v>125</v>
      </c>
      <c r="B29" s="4">
        <f t="shared" si="9"/>
        <v>-4095.7706250000001</v>
      </c>
      <c r="C29" s="38"/>
      <c r="D29" s="38">
        <f>IF(D13="Р",-(IF(C44+D16+SUM(D23:D28)&lt;0,($B$6-$B$7)*1%+SUM($C$29:C29),0)),0)</f>
        <v>0</v>
      </c>
      <c r="E29" s="38">
        <f>IF(E13="Р",-(IF(D44+E16+SUM(E23:E28)&lt;0,($B$6-$B$7)*1%+SUM($C$29:D29),0)),0)</f>
        <v>0</v>
      </c>
      <c r="F29" s="38">
        <f>IF(F13="Р",-(IF(E44+F16+SUM(F23:F28)&lt;0,($B$6-$B$7)*1%+SUM($C$29:E29),0)),0)</f>
        <v>0</v>
      </c>
      <c r="G29" s="38">
        <f>IF(G13="Р",-(IF(F44+G16+SUM(G23:G28)&lt;0,($B$6-$B$7)*1%+SUM($C$29:F29),0)),0)</f>
        <v>0</v>
      </c>
      <c r="H29" s="38">
        <f>IF(H13="Р",-(IF(G44+H16+SUM(H23:H28)&lt;0,($B$6-$B$7)*1%+SUM($C$29:G29),0)),0)</f>
        <v>-4095.7706250000001</v>
      </c>
      <c r="I29" s="38">
        <f>IF(I13="Р",-(IF(H44+I16+SUM(I23:I28)&lt;0,($B$6-$B$7)*1%+SUM($C$29:H29),0)),0)</f>
        <v>0</v>
      </c>
      <c r="J29" s="38">
        <f>IF(J13="Р",-(IF(I44+J16+SUM(J23:J28)&lt;0,($B$6-$B$7)*1%+SUM($C$29:I29),0)),0)</f>
        <v>0</v>
      </c>
      <c r="K29" s="38">
        <f>IF(K13="Р",-(IF(J44+K16+SUM(K23:K28)&lt;0,($B$6-$B$7)*1%+SUM($C$29:J29),0)),0)</f>
        <v>0</v>
      </c>
      <c r="L29" s="38">
        <f>IF(L13="Р",-(IF(K44+L16+SUM(L23:L28)&lt;0,($B$6-$B$7)*1%+SUM($C$29:K29),0)),0)</f>
        <v>0</v>
      </c>
      <c r="M29" s="38">
        <f>IF(M13="Р",-(IF(L44+M16+SUM(M23:M28)&lt;0,($B$6-$B$7)*1%+SUM($C$29:L29),0)),0)</f>
        <v>0</v>
      </c>
      <c r="N29" s="38">
        <f>IF(N13="Р",-(IF(M44+N16+SUM(N23:N28)&lt;0,($B$6-$B$7)*1%+SUM($C$29:M29),0)),0)</f>
        <v>0</v>
      </c>
      <c r="O29" s="38">
        <f>IF(O13="Р",-(IF(N44+O16+SUM(O23:O28)&lt;0,($B$6-$B$7)*1%+SUM($C$29:N29),0)),0)</f>
        <v>0</v>
      </c>
      <c r="P29" s="38">
        <f>IF(P13="Р",-(IF(O44+P16+SUM(P23:P28)&lt;0,($B$6-$B$7)*1%+SUM($C$29:O29),0)),0)</f>
        <v>0</v>
      </c>
      <c r="Q29" s="38">
        <f>IF(Q13="Р",-(IF(P44+Q16+SUM(Q23:Q28)&lt;0,($B$6-$B$7)*1%+SUM($C$29:P29),0)),0)</f>
        <v>0</v>
      </c>
      <c r="R29" s="38">
        <f>IF(R13="Р",-(IF(Q44+R16+SUM(R23:R28)&lt;0,($B$6-$B$7)*1%+SUM($C$29:Q29),0)),0)</f>
        <v>0</v>
      </c>
      <c r="S29" s="38">
        <f>IF(S13="Р",-(IF(R44+S16+SUM(S23:S28)&lt;0,($B$6-$B$7)*1%+SUM($C$29:R29),0)),0)</f>
        <v>0</v>
      </c>
      <c r="T29" s="38">
        <f>IF(T13="Р",-(IF(S44+T16+SUM(T23:T28)&lt;0,($B$6-$B$7)*1%+SUM($C$29:S29),0)),0)</f>
        <v>0</v>
      </c>
      <c r="U29" s="38">
        <f>IF(U13="Р",-(IF(T44+U16+SUM(U23:U28)&lt;0,($B$6-$B$7)*1%+SUM($C$29:T29),0)),0)</f>
        <v>0</v>
      </c>
      <c r="V29" s="38">
        <f>IF(V13="Р",-(IF(U44+V16+SUM(V23:V28)&lt;0,($B$6-$B$7)*1%+SUM($C$29:U29),0)),0)</f>
        <v>0</v>
      </c>
      <c r="W29" s="38"/>
      <c r="X29" s="38"/>
      <c r="Y29" s="38"/>
      <c r="Z29" s="38"/>
    </row>
    <row r="30" spans="1:26" s="44" customFormat="1" x14ac:dyDescent="0.2">
      <c r="A30" s="43" t="s">
        <v>41</v>
      </c>
      <c r="B30" s="49"/>
      <c r="C30" s="49">
        <f t="shared" ref="C30:Z30" si="19">B44+C16+C22</f>
        <v>0</v>
      </c>
      <c r="D30" s="49">
        <f t="shared" si="19"/>
        <v>0</v>
      </c>
      <c r="E30" s="49">
        <f t="shared" si="19"/>
        <v>0</v>
      </c>
      <c r="F30" s="49">
        <f t="shared" si="19"/>
        <v>0</v>
      </c>
      <c r="G30" s="49">
        <f t="shared" si="19"/>
        <v>0</v>
      </c>
      <c r="H30" s="49">
        <f t="shared" si="19"/>
        <v>-11557.780171989725</v>
      </c>
      <c r="I30" s="49">
        <f t="shared" si="19"/>
        <v>-7013.5018791725597</v>
      </c>
      <c r="J30" s="49">
        <f t="shared" si="19"/>
        <v>-6434.7945801623428</v>
      </c>
      <c r="K30" s="49">
        <f t="shared" si="19"/>
        <v>-5824.6535896420974</v>
      </c>
      <c r="L30" s="49">
        <f t="shared" si="19"/>
        <v>-5181.9113301207835</v>
      </c>
      <c r="M30" s="49">
        <f t="shared" si="19"/>
        <v>78011.96837535534</v>
      </c>
      <c r="N30" s="49">
        <f t="shared" si="19"/>
        <v>72420.792266801873</v>
      </c>
      <c r="O30" s="49">
        <f t="shared" si="19"/>
        <v>86498.37660197576</v>
      </c>
      <c r="P30" s="49">
        <f t="shared" si="19"/>
        <v>87795.852251005388</v>
      </c>
      <c r="Q30" s="49">
        <f t="shared" si="19"/>
        <v>0</v>
      </c>
      <c r="R30" s="49">
        <f t="shared" si="19"/>
        <v>0</v>
      </c>
      <c r="S30" s="49">
        <f t="shared" si="19"/>
        <v>0</v>
      </c>
      <c r="T30" s="49">
        <f t="shared" si="19"/>
        <v>0</v>
      </c>
      <c r="U30" s="49">
        <f t="shared" si="19"/>
        <v>0</v>
      </c>
      <c r="V30" s="49">
        <f t="shared" si="19"/>
        <v>0</v>
      </c>
      <c r="W30" s="49">
        <f t="shared" si="19"/>
        <v>0</v>
      </c>
      <c r="X30" s="49">
        <f t="shared" si="19"/>
        <v>0</v>
      </c>
      <c r="Y30" s="49">
        <f t="shared" si="19"/>
        <v>0</v>
      </c>
      <c r="Z30" s="49">
        <f t="shared" si="19"/>
        <v>0</v>
      </c>
    </row>
    <row r="31" spans="1:26" x14ac:dyDescent="0.2">
      <c r="A31" s="9" t="s">
        <v>61</v>
      </c>
      <c r="B31" s="4">
        <f>SUM(C31:Z31)</f>
        <v>-403870.48587841436</v>
      </c>
      <c r="C31" s="38">
        <f t="shared" ref="C31:Z31" si="20">IF(C12="С",-C17,0)</f>
        <v>0</v>
      </c>
      <c r="D31" s="38">
        <f t="shared" si="20"/>
        <v>0</v>
      </c>
      <c r="E31" s="38">
        <f t="shared" si="20"/>
        <v>0</v>
      </c>
      <c r="F31" s="38">
        <f t="shared" si="20"/>
        <v>0</v>
      </c>
      <c r="G31" s="38">
        <f t="shared" si="20"/>
        <v>0</v>
      </c>
      <c r="H31" s="38">
        <f t="shared" si="20"/>
        <v>-77220.12273475487</v>
      </c>
      <c r="I31" s="38">
        <f t="shared" si="20"/>
        <v>-78957.575496286852</v>
      </c>
      <c r="J31" s="38">
        <f t="shared" si="20"/>
        <v>-80734.120944953305</v>
      </c>
      <c r="K31" s="38">
        <f t="shared" si="20"/>
        <v>-82550.638666214756</v>
      </c>
      <c r="L31" s="38">
        <f t="shared" si="20"/>
        <v>-84408.028036204589</v>
      </c>
      <c r="M31" s="38">
        <f t="shared" si="20"/>
        <v>0</v>
      </c>
      <c r="N31" s="38">
        <f t="shared" si="20"/>
        <v>0</v>
      </c>
      <c r="O31" s="38">
        <f t="shared" si="20"/>
        <v>0</v>
      </c>
      <c r="P31" s="38">
        <f t="shared" si="20"/>
        <v>0</v>
      </c>
      <c r="Q31" s="38">
        <f t="shared" si="20"/>
        <v>0</v>
      </c>
      <c r="R31" s="38">
        <f t="shared" si="20"/>
        <v>0</v>
      </c>
      <c r="S31" s="38">
        <f t="shared" si="20"/>
        <v>0</v>
      </c>
      <c r="T31" s="38">
        <f t="shared" si="20"/>
        <v>0</v>
      </c>
      <c r="U31" s="38">
        <f t="shared" si="20"/>
        <v>0</v>
      </c>
      <c r="V31" s="38">
        <f t="shared" si="20"/>
        <v>0</v>
      </c>
      <c r="W31" s="38">
        <f t="shared" si="20"/>
        <v>0</v>
      </c>
      <c r="X31" s="38">
        <f t="shared" si="20"/>
        <v>0</v>
      </c>
      <c r="Y31" s="38">
        <f t="shared" si="20"/>
        <v>0</v>
      </c>
      <c r="Z31" s="38">
        <f t="shared" si="20"/>
        <v>0</v>
      </c>
    </row>
    <row r="32" spans="1:26" x14ac:dyDescent="0.2">
      <c r="A32" s="9" t="s">
        <v>26</v>
      </c>
      <c r="B32" s="4">
        <f>SUM(C32:Z32)</f>
        <v>403870.48587841436</v>
      </c>
      <c r="C32" s="38">
        <f>IF(C12="П",-B33,0)</f>
        <v>0</v>
      </c>
      <c r="D32" s="38">
        <f>IF(D12="П",-C33,0)</f>
        <v>0</v>
      </c>
      <c r="E32" s="38">
        <f t="shared" ref="E32:Z32" si="21">IF(E12="Э",-D33,0)</f>
        <v>0</v>
      </c>
      <c r="F32" s="38">
        <f t="shared" si="21"/>
        <v>0</v>
      </c>
      <c r="G32" s="38">
        <f t="shared" si="21"/>
        <v>0</v>
      </c>
      <c r="H32" s="38">
        <f t="shared" si="21"/>
        <v>0</v>
      </c>
      <c r="I32" s="38">
        <f t="shared" si="21"/>
        <v>0</v>
      </c>
      <c r="J32" s="38">
        <f t="shared" si="21"/>
        <v>0</v>
      </c>
      <c r="K32" s="38">
        <f t="shared" si="21"/>
        <v>0</v>
      </c>
      <c r="L32" s="38">
        <f t="shared" si="21"/>
        <v>0</v>
      </c>
      <c r="M32" s="38">
        <f t="shared" si="21"/>
        <v>403870.48587841436</v>
      </c>
      <c r="N32" s="38">
        <f t="shared" si="21"/>
        <v>0</v>
      </c>
      <c r="O32" s="38">
        <f t="shared" si="21"/>
        <v>0</v>
      </c>
      <c r="P32" s="38">
        <f t="shared" si="21"/>
        <v>0</v>
      </c>
      <c r="Q32" s="38">
        <f t="shared" si="21"/>
        <v>0</v>
      </c>
      <c r="R32" s="38">
        <f t="shared" si="21"/>
        <v>0</v>
      </c>
      <c r="S32" s="38">
        <f t="shared" si="21"/>
        <v>0</v>
      </c>
      <c r="T32" s="38">
        <f t="shared" si="21"/>
        <v>0</v>
      </c>
      <c r="U32" s="38">
        <f t="shared" si="21"/>
        <v>0</v>
      </c>
      <c r="V32" s="38">
        <f t="shared" si="21"/>
        <v>0</v>
      </c>
      <c r="W32" s="38">
        <f t="shared" si="21"/>
        <v>0</v>
      </c>
      <c r="X32" s="38">
        <f t="shared" si="21"/>
        <v>0</v>
      </c>
      <c r="Y32" s="38">
        <f t="shared" si="21"/>
        <v>0</v>
      </c>
      <c r="Z32" s="38">
        <f t="shared" si="21"/>
        <v>0</v>
      </c>
    </row>
    <row r="33" spans="1:26" s="28" customFormat="1" x14ac:dyDescent="0.2">
      <c r="A33" s="29" t="s">
        <v>62</v>
      </c>
      <c r="B33" s="65"/>
      <c r="C33" s="42">
        <f t="shared" ref="C33:Z33" si="22">B33+C31+C32</f>
        <v>0</v>
      </c>
      <c r="D33" s="42">
        <f t="shared" si="22"/>
        <v>0</v>
      </c>
      <c r="E33" s="42">
        <f t="shared" si="22"/>
        <v>0</v>
      </c>
      <c r="F33" s="42">
        <f t="shared" si="22"/>
        <v>0</v>
      </c>
      <c r="G33" s="42">
        <f t="shared" si="22"/>
        <v>0</v>
      </c>
      <c r="H33" s="42">
        <f t="shared" si="22"/>
        <v>-77220.12273475487</v>
      </c>
      <c r="I33" s="42">
        <f t="shared" si="22"/>
        <v>-156177.69823104172</v>
      </c>
      <c r="J33" s="42">
        <f t="shared" si="22"/>
        <v>-236911.81917599501</v>
      </c>
      <c r="K33" s="42">
        <f t="shared" si="22"/>
        <v>-319462.45784220978</v>
      </c>
      <c r="L33" s="42">
        <f t="shared" si="22"/>
        <v>-403870.48587841436</v>
      </c>
      <c r="M33" s="42">
        <f t="shared" si="22"/>
        <v>0</v>
      </c>
      <c r="N33" s="42">
        <f t="shared" si="22"/>
        <v>0</v>
      </c>
      <c r="O33" s="42">
        <f t="shared" si="22"/>
        <v>0</v>
      </c>
      <c r="P33" s="42">
        <f t="shared" si="22"/>
        <v>0</v>
      </c>
      <c r="Q33" s="42">
        <f t="shared" si="22"/>
        <v>0</v>
      </c>
      <c r="R33" s="42">
        <f t="shared" si="22"/>
        <v>0</v>
      </c>
      <c r="S33" s="42">
        <f t="shared" si="22"/>
        <v>0</v>
      </c>
      <c r="T33" s="42">
        <f t="shared" si="22"/>
        <v>0</v>
      </c>
      <c r="U33" s="42">
        <f t="shared" si="22"/>
        <v>0</v>
      </c>
      <c r="V33" s="42">
        <f t="shared" si="22"/>
        <v>0</v>
      </c>
      <c r="W33" s="42">
        <f t="shared" si="22"/>
        <v>0</v>
      </c>
      <c r="X33" s="42">
        <f t="shared" si="22"/>
        <v>0</v>
      </c>
      <c r="Y33" s="42">
        <f t="shared" si="22"/>
        <v>0</v>
      </c>
      <c r="Z33" s="42">
        <f t="shared" si="22"/>
        <v>0</v>
      </c>
    </row>
    <row r="34" spans="1:26" s="44" customFormat="1" x14ac:dyDescent="0.2">
      <c r="A34" s="43" t="s">
        <v>27</v>
      </c>
      <c r="B34" s="49"/>
      <c r="C34" s="49">
        <f t="shared" ref="C34:Z34" si="23">C30+C31+C32</f>
        <v>0</v>
      </c>
      <c r="D34" s="49">
        <f t="shared" si="23"/>
        <v>0</v>
      </c>
      <c r="E34" s="49">
        <f t="shared" si="23"/>
        <v>0</v>
      </c>
      <c r="F34" s="49">
        <f t="shared" si="23"/>
        <v>0</v>
      </c>
      <c r="G34" s="49">
        <f t="shared" si="23"/>
        <v>0</v>
      </c>
      <c r="H34" s="49">
        <f t="shared" si="23"/>
        <v>-88777.902906744595</v>
      </c>
      <c r="I34" s="49">
        <f t="shared" si="23"/>
        <v>-85971.077375459412</v>
      </c>
      <c r="J34" s="49">
        <f t="shared" si="23"/>
        <v>-87168.915525115648</v>
      </c>
      <c r="K34" s="49">
        <f t="shared" si="23"/>
        <v>-88375.292255856853</v>
      </c>
      <c r="L34" s="49">
        <f t="shared" si="23"/>
        <v>-89589.939366325372</v>
      </c>
      <c r="M34" s="49">
        <f t="shared" si="23"/>
        <v>481882.45425376971</v>
      </c>
      <c r="N34" s="49">
        <f t="shared" si="23"/>
        <v>72420.792266801873</v>
      </c>
      <c r="O34" s="49">
        <f t="shared" si="23"/>
        <v>86498.37660197576</v>
      </c>
      <c r="P34" s="49">
        <f t="shared" si="23"/>
        <v>87795.852251005388</v>
      </c>
      <c r="Q34" s="49">
        <f t="shared" si="23"/>
        <v>0</v>
      </c>
      <c r="R34" s="49">
        <f t="shared" si="23"/>
        <v>0</v>
      </c>
      <c r="S34" s="49">
        <f t="shared" si="23"/>
        <v>0</v>
      </c>
      <c r="T34" s="49">
        <f t="shared" si="23"/>
        <v>0</v>
      </c>
      <c r="U34" s="49">
        <f t="shared" si="23"/>
        <v>0</v>
      </c>
      <c r="V34" s="49">
        <f t="shared" si="23"/>
        <v>0</v>
      </c>
      <c r="W34" s="49">
        <f t="shared" si="23"/>
        <v>0</v>
      </c>
      <c r="X34" s="49">
        <f t="shared" si="23"/>
        <v>0</v>
      </c>
      <c r="Y34" s="49">
        <f t="shared" si="23"/>
        <v>0</v>
      </c>
      <c r="Z34" s="49">
        <f t="shared" si="23"/>
        <v>0</v>
      </c>
    </row>
    <row r="35" spans="1:26" x14ac:dyDescent="0.2">
      <c r="A35" s="9" t="s">
        <v>42</v>
      </c>
      <c r="B35" s="4">
        <f>SUM(C35:Z35)</f>
        <v>439883.12742950185</v>
      </c>
      <c r="C35" s="38">
        <f t="shared" ref="C35:D35" si="24">IF(C34&lt;0,-C34,0)</f>
        <v>0</v>
      </c>
      <c r="D35" s="38">
        <f t="shared" si="24"/>
        <v>0</v>
      </c>
      <c r="E35" s="38">
        <f t="shared" ref="E35:Z35" si="25">IF(E12="С",IF(E34&lt;0,-E34,0),0)</f>
        <v>0</v>
      </c>
      <c r="F35" s="38">
        <f t="shared" si="25"/>
        <v>0</v>
      </c>
      <c r="G35" s="38">
        <f t="shared" si="25"/>
        <v>0</v>
      </c>
      <c r="H35" s="38">
        <f t="shared" si="25"/>
        <v>88777.902906744595</v>
      </c>
      <c r="I35" s="38">
        <f t="shared" si="25"/>
        <v>85971.077375459412</v>
      </c>
      <c r="J35" s="38">
        <f t="shared" si="25"/>
        <v>87168.915525115648</v>
      </c>
      <c r="K35" s="38">
        <f t="shared" si="25"/>
        <v>88375.292255856853</v>
      </c>
      <c r="L35" s="38">
        <f t="shared" si="25"/>
        <v>89589.939366325372</v>
      </c>
      <c r="M35" s="38">
        <f t="shared" si="25"/>
        <v>0</v>
      </c>
      <c r="N35" s="38">
        <f t="shared" si="25"/>
        <v>0</v>
      </c>
      <c r="O35" s="38">
        <f t="shared" si="25"/>
        <v>0</v>
      </c>
      <c r="P35" s="38">
        <f t="shared" si="25"/>
        <v>0</v>
      </c>
      <c r="Q35" s="38">
        <f t="shared" si="25"/>
        <v>0</v>
      </c>
      <c r="R35" s="38">
        <f t="shared" si="25"/>
        <v>0</v>
      </c>
      <c r="S35" s="38">
        <f t="shared" si="25"/>
        <v>0</v>
      </c>
      <c r="T35" s="38">
        <f t="shared" si="25"/>
        <v>0</v>
      </c>
      <c r="U35" s="38">
        <f t="shared" si="25"/>
        <v>0</v>
      </c>
      <c r="V35" s="38">
        <f t="shared" si="25"/>
        <v>0</v>
      </c>
      <c r="W35" s="38">
        <f t="shared" si="25"/>
        <v>0</v>
      </c>
      <c r="X35" s="38">
        <f t="shared" si="25"/>
        <v>0</v>
      </c>
      <c r="Y35" s="38">
        <f t="shared" si="25"/>
        <v>0</v>
      </c>
      <c r="Z35" s="38">
        <f t="shared" si="25"/>
        <v>0</v>
      </c>
    </row>
    <row r="36" spans="1:26" x14ac:dyDescent="0.2">
      <c r="A36" s="9" t="s">
        <v>43</v>
      </c>
      <c r="B36" s="4">
        <f>SUM(C36:Z36)</f>
        <v>-439883.12742950185</v>
      </c>
      <c r="C36" s="38">
        <f t="shared" ref="C36:Z36" si="26">IF(C34&gt;0,-MIN(B37,C34),0)</f>
        <v>0</v>
      </c>
      <c r="D36" s="38">
        <f t="shared" si="26"/>
        <v>0</v>
      </c>
      <c r="E36" s="38">
        <f t="shared" si="26"/>
        <v>0</v>
      </c>
      <c r="F36" s="38">
        <f t="shared" si="26"/>
        <v>0</v>
      </c>
      <c r="G36" s="38">
        <f t="shared" si="26"/>
        <v>0</v>
      </c>
      <c r="H36" s="38">
        <f t="shared" si="26"/>
        <v>0</v>
      </c>
      <c r="I36" s="38">
        <f t="shared" si="26"/>
        <v>0</v>
      </c>
      <c r="J36" s="38">
        <f t="shared" si="26"/>
        <v>0</v>
      </c>
      <c r="K36" s="38">
        <f t="shared" si="26"/>
        <v>0</v>
      </c>
      <c r="L36" s="38">
        <f t="shared" si="26"/>
        <v>0</v>
      </c>
      <c r="M36" s="38">
        <f t="shared" si="26"/>
        <v>-439883.12742950185</v>
      </c>
      <c r="N36" s="38">
        <f t="shared" si="26"/>
        <v>0</v>
      </c>
      <c r="O36" s="38">
        <f t="shared" si="26"/>
        <v>0</v>
      </c>
      <c r="P36" s="38">
        <f t="shared" si="26"/>
        <v>0</v>
      </c>
      <c r="Q36" s="38">
        <f t="shared" si="26"/>
        <v>0</v>
      </c>
      <c r="R36" s="38">
        <f t="shared" si="26"/>
        <v>0</v>
      </c>
      <c r="S36" s="38">
        <f t="shared" si="26"/>
        <v>0</v>
      </c>
      <c r="T36" s="38">
        <f t="shared" si="26"/>
        <v>0</v>
      </c>
      <c r="U36" s="38">
        <f t="shared" si="26"/>
        <v>0</v>
      </c>
      <c r="V36" s="38">
        <f t="shared" si="26"/>
        <v>0</v>
      </c>
      <c r="W36" s="38">
        <f t="shared" si="26"/>
        <v>0</v>
      </c>
      <c r="X36" s="38">
        <f t="shared" si="26"/>
        <v>0</v>
      </c>
      <c r="Y36" s="38">
        <f t="shared" si="26"/>
        <v>0</v>
      </c>
      <c r="Z36" s="38">
        <f t="shared" si="26"/>
        <v>0</v>
      </c>
    </row>
    <row r="37" spans="1:26" s="28" customFormat="1" x14ac:dyDescent="0.2">
      <c r="A37" s="29" t="s">
        <v>4</v>
      </c>
      <c r="B37" s="65"/>
      <c r="C37" s="42">
        <f t="shared" ref="C37:Z37" si="27">B37+C35+C36</f>
        <v>0</v>
      </c>
      <c r="D37" s="42">
        <f t="shared" si="27"/>
        <v>0</v>
      </c>
      <c r="E37" s="42">
        <f t="shared" si="27"/>
        <v>0</v>
      </c>
      <c r="F37" s="42">
        <f t="shared" si="27"/>
        <v>0</v>
      </c>
      <c r="G37" s="42">
        <f t="shared" si="27"/>
        <v>0</v>
      </c>
      <c r="H37" s="42">
        <f t="shared" si="27"/>
        <v>88777.902906744595</v>
      </c>
      <c r="I37" s="42">
        <f t="shared" si="27"/>
        <v>174748.98028220399</v>
      </c>
      <c r="J37" s="42">
        <f t="shared" si="27"/>
        <v>261917.89580731964</v>
      </c>
      <c r="K37" s="42">
        <f t="shared" si="27"/>
        <v>350293.18806317647</v>
      </c>
      <c r="L37" s="42">
        <f t="shared" si="27"/>
        <v>439883.12742950185</v>
      </c>
      <c r="M37" s="42">
        <f t="shared" si="27"/>
        <v>0</v>
      </c>
      <c r="N37" s="42">
        <f t="shared" si="27"/>
        <v>0</v>
      </c>
      <c r="O37" s="42">
        <f t="shared" si="27"/>
        <v>0</v>
      </c>
      <c r="P37" s="42">
        <f t="shared" si="27"/>
        <v>0</v>
      </c>
      <c r="Q37" s="42">
        <f t="shared" si="27"/>
        <v>0</v>
      </c>
      <c r="R37" s="42">
        <f t="shared" si="27"/>
        <v>0</v>
      </c>
      <c r="S37" s="42">
        <f t="shared" si="27"/>
        <v>0</v>
      </c>
      <c r="T37" s="42">
        <f t="shared" si="27"/>
        <v>0</v>
      </c>
      <c r="U37" s="42">
        <f t="shared" si="27"/>
        <v>0</v>
      </c>
      <c r="V37" s="42">
        <f t="shared" si="27"/>
        <v>0</v>
      </c>
      <c r="W37" s="42">
        <f t="shared" si="27"/>
        <v>0</v>
      </c>
      <c r="X37" s="42">
        <f t="shared" si="27"/>
        <v>0</v>
      </c>
      <c r="Y37" s="42">
        <f t="shared" si="27"/>
        <v>0</v>
      </c>
      <c r="Z37" s="42">
        <f t="shared" si="27"/>
        <v>0</v>
      </c>
    </row>
    <row r="38" spans="1:26" s="28" customFormat="1" x14ac:dyDescent="0.2">
      <c r="A38" s="66" t="s">
        <v>28</v>
      </c>
      <c r="B38" s="65"/>
      <c r="C38" s="42">
        <f t="shared" ref="C38:F38" si="28">MAX(C37+C33,0)</f>
        <v>0</v>
      </c>
      <c r="D38" s="42">
        <f t="shared" si="28"/>
        <v>0</v>
      </c>
      <c r="E38" s="42">
        <f t="shared" si="28"/>
        <v>0</v>
      </c>
      <c r="F38" s="42">
        <f t="shared" si="28"/>
        <v>0</v>
      </c>
      <c r="G38" s="42">
        <f>G37+G33</f>
        <v>0</v>
      </c>
      <c r="H38" s="42">
        <f t="shared" ref="H38:V38" si="29">MAX(H37+H33,0)</f>
        <v>11557.780171989725</v>
      </c>
      <c r="I38" s="42">
        <f t="shared" si="29"/>
        <v>18571.28205116227</v>
      </c>
      <c r="J38" s="42">
        <f t="shared" si="29"/>
        <v>25006.076631324628</v>
      </c>
      <c r="K38" s="42">
        <f t="shared" si="29"/>
        <v>30830.730220966681</v>
      </c>
      <c r="L38" s="42">
        <f t="shared" si="29"/>
        <v>36012.641551087494</v>
      </c>
      <c r="M38" s="42">
        <f t="shared" si="29"/>
        <v>0</v>
      </c>
      <c r="N38" s="42">
        <f t="shared" si="29"/>
        <v>0</v>
      </c>
      <c r="O38" s="42">
        <f t="shared" si="29"/>
        <v>0</v>
      </c>
      <c r="P38" s="42">
        <f t="shared" si="29"/>
        <v>0</v>
      </c>
      <c r="Q38" s="42">
        <f t="shared" si="29"/>
        <v>0</v>
      </c>
      <c r="R38" s="42">
        <f t="shared" si="29"/>
        <v>0</v>
      </c>
      <c r="S38" s="42">
        <f t="shared" si="29"/>
        <v>0</v>
      </c>
      <c r="T38" s="42">
        <f t="shared" si="29"/>
        <v>0</v>
      </c>
      <c r="U38" s="42">
        <f t="shared" si="29"/>
        <v>0</v>
      </c>
      <c r="V38" s="42">
        <f t="shared" si="29"/>
        <v>0</v>
      </c>
      <c r="W38" s="42">
        <f t="shared" ref="W38:Z38" si="30">W37+W33</f>
        <v>0</v>
      </c>
      <c r="X38" s="42">
        <f t="shared" si="30"/>
        <v>0</v>
      </c>
      <c r="Y38" s="42">
        <f t="shared" si="30"/>
        <v>0</v>
      </c>
      <c r="Z38" s="42">
        <f t="shared" si="30"/>
        <v>0</v>
      </c>
    </row>
    <row r="39" spans="1:26" s="28" customFormat="1" x14ac:dyDescent="0.2">
      <c r="A39" s="29" t="s">
        <v>124</v>
      </c>
      <c r="B39" s="65"/>
      <c r="C39" s="128">
        <f>IF(B37&gt;0,IF(B37&gt;-B33,(-B33*'ИДиР (2)'!$B$21+(B37+B33)*'ИДиР (2)'!$B$20)/B37,MAX((B37*'ИДиР (2)'!$B$21-(-B33-B37)*'ИДиР (2)'!$B$22)/B37,0.01%)),0)</f>
        <v>0</v>
      </c>
      <c r="D39" s="128">
        <f>IF(C37&gt;0,IF(C37&gt;-C33,(-C33*'ИДиР (2)'!$B$21+(C37+C33)*'ИДиР (2)'!$B$20)/C37,MAX((C37*'ИДиР (2)'!$B$21-(-C33-C37)*'ИДиР (2)'!$B$22)/C37,0.01%)),0)</f>
        <v>0</v>
      </c>
      <c r="E39" s="128">
        <f>IF(D37&gt;0,IF(D37&gt;-D33,(-D33*'ИДиР (2)'!$B$21+(D37+D33)*'ИДиР (2)'!$B$20)/D37,MAX((D37*'ИДиР (2)'!$B$21-(-D33-D37)*'ИДиР (2)'!$B$22)/D37,0.01%)),0)</f>
        <v>0</v>
      </c>
      <c r="F39" s="128">
        <f>IF(E37&gt;0,IF(E37&gt;-E33,(-E33*'ИДиР (2)'!$B$21+(E37+E33)*'ИДиР (2)'!$B$20)/E37,MAX((E37*'ИДиР (2)'!$B$21-(-E33-E37)*'ИДиР (2)'!$B$22)/E37,0.01%)),0)</f>
        <v>0</v>
      </c>
      <c r="G39" s="128">
        <f>IF(F37&gt;0,IF(F37&gt;-F33,(-F33*'ИДиР (2)'!$B$21+(F37+F33)*'ИДиР (2)'!$B$20)/F37,MAX((F37*'ИДиР (2)'!$B$21-(-F33-F37)*'ИДиР (2)'!$B$22)/F37,0.01%)),0)</f>
        <v>0</v>
      </c>
      <c r="H39" s="128">
        <f>IF(G37&gt;0,IF(G37&gt;-G33,(-G33*'ИДиР (2)'!$B$21+(G37+G33)*'ИДиР (2)'!$B$20)/G37,MAX((G37*'ИДиР (2)'!$B$21-(-G33-G37)*'ИДиР (2)'!$B$22)/G37,0.01%)),0)</f>
        <v>0</v>
      </c>
      <c r="I39" s="128">
        <f>IF(H37&gt;0,IF(H37&gt;-H33,(-H33*'ИДиР (2)'!$B$21+(H37+H33)*'ИДиР (2)'!$B$20)/H37,MAX((H37*'ИДиР (2)'!$B$21-(-H33-H37)*'ИДиР (2)'!$B$22)/H37,0.01%)),0)</f>
        <v>5.6509378907119732E-2</v>
      </c>
      <c r="J39" s="128">
        <f>IF(I37&gt;0,IF(I37&gt;-I33,(-I33*'ИДиР (2)'!$B$21+(I37+I33)*'ИДиР (2)'!$B$20)/I37,MAX((I37*'ИДиР (2)'!$B$21-(-I33-I37)*'ИДиР (2)'!$B$22)/I37,0.01%)),0)</f>
        <v>5.5313702552418707E-2</v>
      </c>
      <c r="K39" s="128">
        <f>IF(J37&gt;0,IF(J37&gt;-J33,(-J33*'ИДиР (2)'!$B$21+(J37+J33)*'ИДиР (2)'!$B$20)/J37,MAX((J37*'ИДиР (2)'!$B$21-(-J33-J37)*'ИДиР (2)'!$B$22)/J37,0.01%)),0)</f>
        <v>5.4773647969766914E-2</v>
      </c>
      <c r="L39" s="128">
        <f>IF(K37&gt;0,IF(K37&gt;-K33,(-K33*'ИДиР (2)'!$B$21+(K37+K33)*'ИДиР (2)'!$B$20)/K37,MAX((K37*'ИДиР (2)'!$B$21-(-K33-K37)*'ИДиР (2)'!$B$22)/K37,0.01%)),0)</f>
        <v>5.4400703649339348E-2</v>
      </c>
      <c r="M39" s="128">
        <f>IF(L37&gt;0,IF(L37&gt;-L33,(-L33*'ИДиР (2)'!$B$21+(L37+L33)*'ИДиР (2)'!$B$20)/L37,MAX((L37*'ИДиР (2)'!$B$21-(-L33-L37)*'ИДиР (2)'!$B$22)/L37,0.01%)),0)</f>
        <v>5.4093432926324181E-2</v>
      </c>
      <c r="N39" s="128">
        <f>IF(M37&gt;0,IF(M37&gt;-M33,(-M33*'ИДиР (2)'!$B$21+(M37+M33)*'ИДиР (2)'!$B$20)/M37,MAX((M37*'ИДиР (2)'!$B$21-(-M33-M37)*'ИДиР (2)'!$B$22)/M37,0.01%)),0)</f>
        <v>0</v>
      </c>
      <c r="O39" s="128">
        <f>IF(N37&gt;0,IF(N37&gt;-N33,(-N33*'ИДиР (2)'!$B$21+(N37+N33)*'ИДиР (2)'!$B$20)/N37,MAX((N37*'ИДиР (2)'!$B$21-(-N33-N37)*'ИДиР (2)'!$B$22)/N37,0.01%)),0)</f>
        <v>0</v>
      </c>
      <c r="P39" s="128">
        <f>IF(O37&gt;0,IF(O37&gt;-O33,(-O33*'ИДиР (2)'!$B$21+(O37+O33)*'ИДиР (2)'!$B$20)/O37,MAX((O37*'ИДиР (2)'!$B$21-(-O33-O37)*'ИДиР (2)'!$B$22)/O37,0.01%)),0)</f>
        <v>0</v>
      </c>
      <c r="Q39" s="128">
        <f>IF(P37&gt;0,IF(P37&gt;-P33,(-P33*'ИДиР (2)'!$B$21+(P37+P33)*'ИДиР (2)'!$B$20)/P37,MAX((P37*'ИДиР (2)'!$B$21-(-P33-P37)*'ИДиР (2)'!$B$22)/P37,0.01%)),0)</f>
        <v>0</v>
      </c>
      <c r="R39" s="128">
        <f>IF(Q37&gt;0,IF(Q37&gt;-Q33,(-Q33*'ИДиР (2)'!$B$21+(Q37+Q33)*'ИДиР (2)'!$B$20)/Q37,MAX((Q37*'ИДиР (2)'!$B$21-(-Q33-Q37)*'ИДиР (2)'!$B$22)/Q37,0.01%)),0)</f>
        <v>0</v>
      </c>
      <c r="S39" s="128">
        <f>IF(R37&gt;0,IF(R37&gt;-R33,(-R33*'ИДиР (2)'!$B$21+(R37+R33)*'ИДиР (2)'!$B$20)/R37,MAX((R37*'ИДиР (2)'!$B$21-(-R33-R37)*'ИДиР (2)'!$B$22)/R37,0.01%)),0)</f>
        <v>0</v>
      </c>
      <c r="T39" s="128">
        <f>IF(S37&gt;0,IF(S37&gt;-S33,(-S33*'ИДиР (2)'!$B$21+(S37+S33)*'ИДиР (2)'!$B$20)/S37,MAX((S37*'ИДиР (2)'!$B$21-(-S33-S37)*'ИДиР (2)'!$B$22)/S37,0.01%)),0)</f>
        <v>0</v>
      </c>
      <c r="U39" s="128">
        <f>IF(T37&gt;0,IF(T37&gt;-T33,(-T33*'ИДиР (2)'!$B$21+(T37+T33)*'ИДиР (2)'!$B$20)/T37,MAX((T37*'ИДиР (2)'!$B$21-(-T33-T37)*'ИДиР (2)'!$B$22)/T37,0.01%)),0)</f>
        <v>0</v>
      </c>
      <c r="V39" s="128">
        <f>IF(U37&gt;0,IF(U37&gt;-U33,(-U33*'ИДиР (2)'!$B$21+(U37+U33)*'ИДиР (2)'!$B$20)/U37,MAX((U37*'ИДиР (2)'!$B$21-(-U33-U37)*'ИДиР (2)'!$B$22)/U37,0.01%)),0)</f>
        <v>0</v>
      </c>
      <c r="W39" s="42"/>
      <c r="X39" s="42"/>
      <c r="Y39" s="42"/>
      <c r="Z39" s="42"/>
    </row>
    <row r="40" spans="1:26" s="44" customFormat="1" x14ac:dyDescent="0.2">
      <c r="A40" s="43" t="s">
        <v>0</v>
      </c>
      <c r="B40" s="49"/>
      <c r="C40" s="49">
        <f t="shared" ref="C40:Z40" si="31">C34+C35+C36</f>
        <v>0</v>
      </c>
      <c r="D40" s="49">
        <f t="shared" si="31"/>
        <v>0</v>
      </c>
      <c r="E40" s="49">
        <f t="shared" si="31"/>
        <v>0</v>
      </c>
      <c r="F40" s="49">
        <f t="shared" si="31"/>
        <v>0</v>
      </c>
      <c r="G40" s="49">
        <f t="shared" si="31"/>
        <v>0</v>
      </c>
      <c r="H40" s="49">
        <f t="shared" si="31"/>
        <v>0</v>
      </c>
      <c r="I40" s="49">
        <f t="shared" si="31"/>
        <v>0</v>
      </c>
      <c r="J40" s="49">
        <f t="shared" si="31"/>
        <v>0</v>
      </c>
      <c r="K40" s="49">
        <f t="shared" si="31"/>
        <v>0</v>
      </c>
      <c r="L40" s="49">
        <f t="shared" si="31"/>
        <v>0</v>
      </c>
      <c r="M40" s="49">
        <f t="shared" si="31"/>
        <v>41999.326824267861</v>
      </c>
      <c r="N40" s="49">
        <f t="shared" si="31"/>
        <v>72420.792266801873</v>
      </c>
      <c r="O40" s="49">
        <f t="shared" si="31"/>
        <v>86498.37660197576</v>
      </c>
      <c r="P40" s="49">
        <f t="shared" si="31"/>
        <v>87795.852251005388</v>
      </c>
      <c r="Q40" s="49">
        <f t="shared" si="31"/>
        <v>0</v>
      </c>
      <c r="R40" s="49">
        <f t="shared" si="31"/>
        <v>0</v>
      </c>
      <c r="S40" s="49">
        <f t="shared" si="31"/>
        <v>0</v>
      </c>
      <c r="T40" s="49">
        <f t="shared" si="31"/>
        <v>0</v>
      </c>
      <c r="U40" s="49">
        <f t="shared" si="31"/>
        <v>0</v>
      </c>
      <c r="V40" s="49">
        <f t="shared" si="31"/>
        <v>0</v>
      </c>
      <c r="W40" s="49">
        <f t="shared" si="31"/>
        <v>0</v>
      </c>
      <c r="X40" s="49">
        <f t="shared" si="31"/>
        <v>0</v>
      </c>
      <c r="Y40" s="49">
        <f t="shared" si="31"/>
        <v>0</v>
      </c>
      <c r="Z40" s="49">
        <f t="shared" si="31"/>
        <v>0</v>
      </c>
    </row>
    <row r="41" spans="1:26" x14ac:dyDescent="0.2">
      <c r="A41" s="9" t="s">
        <v>5</v>
      </c>
      <c r="B41" s="4">
        <f>SUM(C41:Z41)</f>
        <v>-55565.981722912838</v>
      </c>
      <c r="C41" s="38">
        <f t="shared" ref="C41:Z41" si="32">C53</f>
        <v>0</v>
      </c>
      <c r="D41" s="38">
        <f t="shared" si="32"/>
        <v>0</v>
      </c>
      <c r="E41" s="38">
        <f t="shared" si="32"/>
        <v>0</v>
      </c>
      <c r="F41" s="38">
        <f t="shared" si="32"/>
        <v>0</v>
      </c>
      <c r="G41" s="38">
        <f t="shared" si="32"/>
        <v>0</v>
      </c>
      <c r="H41" s="38">
        <f t="shared" si="32"/>
        <v>0</v>
      </c>
      <c r="I41" s="38">
        <f t="shared" si="32"/>
        <v>0</v>
      </c>
      <c r="J41" s="38">
        <f t="shared" si="32"/>
        <v>0</v>
      </c>
      <c r="K41" s="38">
        <f t="shared" si="32"/>
        <v>0</v>
      </c>
      <c r="L41" s="38">
        <f t="shared" si="32"/>
        <v>0</v>
      </c>
      <c r="M41" s="38">
        <f t="shared" si="32"/>
        <v>-4067.3087489562258</v>
      </c>
      <c r="N41" s="38">
        <f t="shared" si="32"/>
        <v>-16639.827203360375</v>
      </c>
      <c r="O41" s="38">
        <f>O53</f>
        <v>-17299.675320395152</v>
      </c>
      <c r="P41" s="38">
        <f t="shared" si="32"/>
        <v>-17559.17045020108</v>
      </c>
      <c r="Q41" s="38">
        <f t="shared" si="32"/>
        <v>0</v>
      </c>
      <c r="R41" s="38">
        <f t="shared" si="32"/>
        <v>0</v>
      </c>
      <c r="S41" s="38">
        <f t="shared" si="32"/>
        <v>0</v>
      </c>
      <c r="T41" s="38">
        <f t="shared" si="32"/>
        <v>0</v>
      </c>
      <c r="U41" s="38">
        <f t="shared" si="32"/>
        <v>0</v>
      </c>
      <c r="V41" s="38">
        <f t="shared" si="32"/>
        <v>0</v>
      </c>
      <c r="W41" s="38">
        <f t="shared" si="32"/>
        <v>0</v>
      </c>
      <c r="X41" s="38">
        <f t="shared" si="32"/>
        <v>0</v>
      </c>
      <c r="Y41" s="38">
        <f t="shared" si="32"/>
        <v>0</v>
      </c>
      <c r="Z41" s="38">
        <f t="shared" si="32"/>
        <v>0</v>
      </c>
    </row>
    <row r="42" spans="1:26" s="44" customFormat="1" x14ac:dyDescent="0.2">
      <c r="A42" s="43" t="s">
        <v>29</v>
      </c>
      <c r="B42" s="49"/>
      <c r="C42" s="49">
        <f t="shared" ref="C42:Z42" si="33">C40+C41</f>
        <v>0</v>
      </c>
      <c r="D42" s="49">
        <f t="shared" si="33"/>
        <v>0</v>
      </c>
      <c r="E42" s="49">
        <f t="shared" si="33"/>
        <v>0</v>
      </c>
      <c r="F42" s="49">
        <f t="shared" si="33"/>
        <v>0</v>
      </c>
      <c r="G42" s="49">
        <f t="shared" si="33"/>
        <v>0</v>
      </c>
      <c r="H42" s="49">
        <f t="shared" si="33"/>
        <v>0</v>
      </c>
      <c r="I42" s="49">
        <f t="shared" si="33"/>
        <v>0</v>
      </c>
      <c r="J42" s="49">
        <f t="shared" si="33"/>
        <v>0</v>
      </c>
      <c r="K42" s="49">
        <f t="shared" si="33"/>
        <v>0</v>
      </c>
      <c r="L42" s="49">
        <f t="shared" si="33"/>
        <v>0</v>
      </c>
      <c r="M42" s="49">
        <f t="shared" si="33"/>
        <v>37932.018075311636</v>
      </c>
      <c r="N42" s="49">
        <f t="shared" si="33"/>
        <v>55780.965063441501</v>
      </c>
      <c r="O42" s="49">
        <f t="shared" si="33"/>
        <v>69198.701281580608</v>
      </c>
      <c r="P42" s="49">
        <f t="shared" si="33"/>
        <v>70236.681800804305</v>
      </c>
      <c r="Q42" s="49">
        <f t="shared" si="33"/>
        <v>0</v>
      </c>
      <c r="R42" s="49">
        <f t="shared" si="33"/>
        <v>0</v>
      </c>
      <c r="S42" s="49">
        <f t="shared" si="33"/>
        <v>0</v>
      </c>
      <c r="T42" s="49">
        <f t="shared" si="33"/>
        <v>0</v>
      </c>
      <c r="U42" s="49">
        <f t="shared" si="33"/>
        <v>0</v>
      </c>
      <c r="V42" s="49">
        <f t="shared" si="33"/>
        <v>0</v>
      </c>
      <c r="W42" s="49">
        <f t="shared" si="33"/>
        <v>0</v>
      </c>
      <c r="X42" s="49">
        <f t="shared" si="33"/>
        <v>0</v>
      </c>
      <c r="Y42" s="49">
        <f t="shared" si="33"/>
        <v>0</v>
      </c>
      <c r="Z42" s="49">
        <f t="shared" si="33"/>
        <v>0</v>
      </c>
    </row>
    <row r="43" spans="1:26" x14ac:dyDescent="0.2">
      <c r="A43" s="9" t="s">
        <v>30</v>
      </c>
      <c r="B43" s="4">
        <f>SUM(C43:Z43)</f>
        <v>-233148.36622113804</v>
      </c>
      <c r="C43" s="38"/>
      <c r="D43" s="38"/>
      <c r="E43" s="38"/>
      <c r="F43" s="38"/>
      <c r="G43" s="38"/>
      <c r="H43" s="38"/>
      <c r="I43" s="38"/>
      <c r="J43" s="38"/>
      <c r="K43" s="38"/>
      <c r="L43" s="38">
        <f t="shared" ref="L43:Z43" si="34">IF(L42&gt;0,-L42,0)</f>
        <v>0</v>
      </c>
      <c r="M43" s="38">
        <f t="shared" si="34"/>
        <v>-37932.018075311636</v>
      </c>
      <c r="N43" s="38">
        <f t="shared" si="34"/>
        <v>-55780.965063441501</v>
      </c>
      <c r="O43" s="38">
        <f t="shared" si="34"/>
        <v>-69198.701281580608</v>
      </c>
      <c r="P43" s="38">
        <f t="shared" si="34"/>
        <v>-70236.681800804305</v>
      </c>
      <c r="Q43" s="38">
        <f t="shared" si="34"/>
        <v>0</v>
      </c>
      <c r="R43" s="38">
        <f t="shared" si="34"/>
        <v>0</v>
      </c>
      <c r="S43" s="38">
        <f t="shared" si="34"/>
        <v>0</v>
      </c>
      <c r="T43" s="38">
        <f t="shared" si="34"/>
        <v>0</v>
      </c>
      <c r="U43" s="38">
        <f t="shared" si="34"/>
        <v>0</v>
      </c>
      <c r="V43" s="38">
        <f t="shared" si="34"/>
        <v>0</v>
      </c>
      <c r="W43" s="38">
        <f t="shared" si="34"/>
        <v>0</v>
      </c>
      <c r="X43" s="38">
        <f t="shared" si="34"/>
        <v>0</v>
      </c>
      <c r="Y43" s="38">
        <f t="shared" si="34"/>
        <v>0</v>
      </c>
      <c r="Z43" s="38">
        <f t="shared" si="34"/>
        <v>0</v>
      </c>
    </row>
    <row r="44" spans="1:26" s="44" customFormat="1" x14ac:dyDescent="0.2">
      <c r="A44" s="43" t="s">
        <v>31</v>
      </c>
      <c r="B44" s="49"/>
      <c r="C44" s="49">
        <f t="shared" ref="C44:Z44" si="35">C42+C43</f>
        <v>0</v>
      </c>
      <c r="D44" s="49">
        <f t="shared" si="35"/>
        <v>0</v>
      </c>
      <c r="E44" s="49">
        <f t="shared" si="35"/>
        <v>0</v>
      </c>
      <c r="F44" s="49">
        <f t="shared" si="35"/>
        <v>0</v>
      </c>
      <c r="G44" s="49">
        <f t="shared" si="35"/>
        <v>0</v>
      </c>
      <c r="H44" s="49">
        <f t="shared" si="35"/>
        <v>0</v>
      </c>
      <c r="I44" s="49">
        <f t="shared" si="35"/>
        <v>0</v>
      </c>
      <c r="J44" s="49">
        <f t="shared" si="35"/>
        <v>0</v>
      </c>
      <c r="K44" s="49">
        <f t="shared" si="35"/>
        <v>0</v>
      </c>
      <c r="L44" s="49">
        <f t="shared" si="35"/>
        <v>0</v>
      </c>
      <c r="M44" s="49">
        <f t="shared" si="35"/>
        <v>0</v>
      </c>
      <c r="N44" s="49">
        <f t="shared" si="35"/>
        <v>0</v>
      </c>
      <c r="O44" s="49">
        <f t="shared" si="35"/>
        <v>0</v>
      </c>
      <c r="P44" s="49">
        <f t="shared" si="35"/>
        <v>0</v>
      </c>
      <c r="Q44" s="49">
        <f t="shared" si="35"/>
        <v>0</v>
      </c>
      <c r="R44" s="49">
        <f t="shared" si="35"/>
        <v>0</v>
      </c>
      <c r="S44" s="49">
        <f t="shared" si="35"/>
        <v>0</v>
      </c>
      <c r="T44" s="49">
        <f t="shared" si="35"/>
        <v>0</v>
      </c>
      <c r="U44" s="49">
        <f t="shared" si="35"/>
        <v>0</v>
      </c>
      <c r="V44" s="49">
        <f t="shared" si="35"/>
        <v>0</v>
      </c>
      <c r="W44" s="49">
        <f t="shared" si="35"/>
        <v>0</v>
      </c>
      <c r="X44" s="49">
        <f t="shared" si="35"/>
        <v>0</v>
      </c>
      <c r="Y44" s="49">
        <f t="shared" si="35"/>
        <v>0</v>
      </c>
      <c r="Z44" s="49">
        <f t="shared" si="35"/>
        <v>0</v>
      </c>
    </row>
    <row r="45" spans="1:26" s="18" customFormat="1" x14ac:dyDescent="0.2">
      <c r="A45" s="16" t="s">
        <v>32</v>
      </c>
      <c r="B45" s="4">
        <f>SUM(C45:Z45)</f>
        <v>233148.36622113801</v>
      </c>
      <c r="C45" s="38">
        <f t="shared" ref="C45:Z45" si="36">C16+C22+C41+C31+C32</f>
        <v>0</v>
      </c>
      <c r="D45" s="38">
        <f t="shared" si="36"/>
        <v>0</v>
      </c>
      <c r="E45" s="38">
        <f t="shared" si="36"/>
        <v>0</v>
      </c>
      <c r="F45" s="38">
        <f t="shared" si="36"/>
        <v>0</v>
      </c>
      <c r="G45" s="38">
        <f t="shared" si="36"/>
        <v>0</v>
      </c>
      <c r="H45" s="38">
        <f t="shared" si="36"/>
        <v>-88777.902906744595</v>
      </c>
      <c r="I45" s="38">
        <f t="shared" si="36"/>
        <v>-85971.077375459412</v>
      </c>
      <c r="J45" s="38">
        <f t="shared" si="36"/>
        <v>-87168.915525115648</v>
      </c>
      <c r="K45" s="38">
        <f t="shared" si="36"/>
        <v>-88375.292255856853</v>
      </c>
      <c r="L45" s="38">
        <f t="shared" si="36"/>
        <v>-89589.939366325372</v>
      </c>
      <c r="M45" s="38">
        <f t="shared" si="36"/>
        <v>477815.14550481347</v>
      </c>
      <c r="N45" s="38">
        <f t="shared" si="36"/>
        <v>55780.965063441501</v>
      </c>
      <c r="O45" s="38">
        <f t="shared" si="36"/>
        <v>69198.701281580608</v>
      </c>
      <c r="P45" s="38">
        <f t="shared" si="36"/>
        <v>70236.681800804305</v>
      </c>
      <c r="Q45" s="38">
        <f t="shared" si="36"/>
        <v>0</v>
      </c>
      <c r="R45" s="38">
        <f t="shared" si="36"/>
        <v>0</v>
      </c>
      <c r="S45" s="38">
        <f t="shared" si="36"/>
        <v>0</v>
      </c>
      <c r="T45" s="38">
        <f t="shared" si="36"/>
        <v>0</v>
      </c>
      <c r="U45" s="38">
        <f t="shared" si="36"/>
        <v>0</v>
      </c>
      <c r="V45" s="38">
        <f t="shared" si="36"/>
        <v>0</v>
      </c>
      <c r="W45" s="38">
        <f t="shared" si="36"/>
        <v>0</v>
      </c>
      <c r="X45" s="38">
        <f t="shared" si="36"/>
        <v>0</v>
      </c>
      <c r="Y45" s="38">
        <f t="shared" si="36"/>
        <v>0</v>
      </c>
      <c r="Z45" s="38">
        <f t="shared" si="36"/>
        <v>0</v>
      </c>
    </row>
    <row r="46" spans="1:26" x14ac:dyDescent="0.2">
      <c r="A46" s="15" t="s">
        <v>50</v>
      </c>
      <c r="B46" s="19">
        <f>IFERROR(IRR(C45:Z45)*4,0)</f>
        <v>0.4941846397073224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x14ac:dyDescent="0.2">
      <c r="A47" s="21"/>
      <c r="B47" s="56"/>
      <c r="C47" s="56"/>
      <c r="D47" s="56"/>
      <c r="E47" s="56"/>
      <c r="F47" s="56"/>
      <c r="G47" s="57"/>
      <c r="H47" s="57"/>
      <c r="I47" s="57"/>
      <c r="J47" s="58"/>
      <c r="K47" s="58"/>
      <c r="L47" s="58"/>
      <c r="M47" s="58"/>
      <c r="N47" s="58"/>
      <c r="O47" s="58"/>
      <c r="P47" s="58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9" t="s">
        <v>51</v>
      </c>
      <c r="B48" s="4">
        <f>SUM(C48:Z48)</f>
        <v>754355.14895037422</v>
      </c>
      <c r="C48" s="38">
        <f t="shared" ref="C48:Z48" si="37">C17+C18</f>
        <v>0</v>
      </c>
      <c r="D48" s="38">
        <f t="shared" si="37"/>
        <v>0</v>
      </c>
      <c r="E48" s="38">
        <f t="shared" si="37"/>
        <v>0</v>
      </c>
      <c r="F48" s="38">
        <f t="shared" si="37"/>
        <v>0</v>
      </c>
      <c r="G48" s="38">
        <f t="shared" si="37"/>
        <v>0</v>
      </c>
      <c r="H48" s="38">
        <f t="shared" si="37"/>
        <v>77220.12273475487</v>
      </c>
      <c r="I48" s="38">
        <f t="shared" si="37"/>
        <v>78957.575496286852</v>
      </c>
      <c r="J48" s="38">
        <f t="shared" si="37"/>
        <v>80734.120944953305</v>
      </c>
      <c r="K48" s="38">
        <f t="shared" si="37"/>
        <v>82550.638666214756</v>
      </c>
      <c r="L48" s="38">
        <f t="shared" si="37"/>
        <v>84408.028036204589</v>
      </c>
      <c r="M48" s="38">
        <f t="shared" si="37"/>
        <v>85674.148456747658</v>
      </c>
      <c r="N48" s="38">
        <f t="shared" si="37"/>
        <v>86959.260683598855</v>
      </c>
      <c r="O48" s="38">
        <f t="shared" si="37"/>
        <v>88263.649593852824</v>
      </c>
      <c r="P48" s="38">
        <f t="shared" si="37"/>
        <v>89587.604337760597</v>
      </c>
      <c r="Q48" s="38">
        <f t="shared" si="37"/>
        <v>0</v>
      </c>
      <c r="R48" s="38">
        <f t="shared" si="37"/>
        <v>0</v>
      </c>
      <c r="S48" s="38">
        <f t="shared" si="37"/>
        <v>0</v>
      </c>
      <c r="T48" s="38">
        <f t="shared" si="37"/>
        <v>0</v>
      </c>
      <c r="U48" s="38">
        <f t="shared" si="37"/>
        <v>0</v>
      </c>
      <c r="V48" s="38">
        <f t="shared" si="37"/>
        <v>0</v>
      </c>
      <c r="W48" s="38">
        <f t="shared" si="37"/>
        <v>0</v>
      </c>
      <c r="X48" s="38">
        <f t="shared" si="37"/>
        <v>0</v>
      </c>
      <c r="Y48" s="38">
        <f t="shared" si="37"/>
        <v>0</v>
      </c>
      <c r="Z48" s="38">
        <f t="shared" si="37"/>
        <v>0</v>
      </c>
    </row>
    <row r="49" spans="1:26" x14ac:dyDescent="0.2">
      <c r="A49" s="9" t="s">
        <v>6</v>
      </c>
      <c r="B49" s="4">
        <f>SUM(C49:Z49)</f>
        <v>-476525.24033581023</v>
      </c>
      <c r="C49" s="38">
        <f t="shared" ref="C49:V49" si="38">C23+C25+C27+C28+C29+C24</f>
        <v>0</v>
      </c>
      <c r="D49" s="38">
        <f t="shared" si="38"/>
        <v>0</v>
      </c>
      <c r="E49" s="38">
        <f t="shared" si="38"/>
        <v>0</v>
      </c>
      <c r="F49" s="38">
        <f t="shared" si="38"/>
        <v>-10831.391539743354</v>
      </c>
      <c r="G49" s="38">
        <f t="shared" si="38"/>
        <v>-10831.391539743354</v>
      </c>
      <c r="H49" s="38">
        <f t="shared" si="38"/>
        <v>-88777.902906744595</v>
      </c>
      <c r="I49" s="38">
        <f t="shared" si="38"/>
        <v>-85971.077375459412</v>
      </c>
      <c r="J49" s="38">
        <f t="shared" si="38"/>
        <v>-87168.915525115648</v>
      </c>
      <c r="K49" s="38">
        <f t="shared" si="38"/>
        <v>-88375.292255856853</v>
      </c>
      <c r="L49" s="38">
        <f t="shared" si="38"/>
        <v>-89589.939366325372</v>
      </c>
      <c r="M49" s="38">
        <f t="shared" si="38"/>
        <v>-7662.180081392321</v>
      </c>
      <c r="N49" s="38">
        <f t="shared" si="38"/>
        <v>-3760.1246667969772</v>
      </c>
      <c r="O49" s="38">
        <f t="shared" si="38"/>
        <v>-1765.2729918770565</v>
      </c>
      <c r="P49" s="38">
        <f t="shared" si="38"/>
        <v>-1791.7520867552121</v>
      </c>
      <c r="Q49" s="38">
        <f t="shared" si="38"/>
        <v>0</v>
      </c>
      <c r="R49" s="38">
        <f t="shared" si="38"/>
        <v>0</v>
      </c>
      <c r="S49" s="38">
        <f t="shared" si="38"/>
        <v>0</v>
      </c>
      <c r="T49" s="38">
        <f t="shared" si="38"/>
        <v>0</v>
      </c>
      <c r="U49" s="38">
        <f t="shared" si="38"/>
        <v>0</v>
      </c>
      <c r="V49" s="38">
        <f t="shared" si="38"/>
        <v>0</v>
      </c>
      <c r="W49" s="38">
        <f>W23+W25+W27</f>
        <v>0</v>
      </c>
      <c r="X49" s="38">
        <f>X23+X25+X27</f>
        <v>0</v>
      </c>
      <c r="Y49" s="38">
        <f>Y23+Y25+Y27</f>
        <v>0</v>
      </c>
      <c r="Z49" s="38">
        <f>Z23+Z25+Z27</f>
        <v>0</v>
      </c>
    </row>
    <row r="50" spans="1:26" x14ac:dyDescent="0.2">
      <c r="A50" s="9" t="s">
        <v>7</v>
      </c>
      <c r="B50" s="4">
        <f>SUM(C50:Z50)</f>
        <v>277829.9086145641</v>
      </c>
      <c r="C50" s="38">
        <f t="shared" ref="C50:Z50" si="39">C48+C49</f>
        <v>0</v>
      </c>
      <c r="D50" s="38">
        <f t="shared" si="39"/>
        <v>0</v>
      </c>
      <c r="E50" s="38">
        <f t="shared" si="39"/>
        <v>0</v>
      </c>
      <c r="F50" s="38">
        <f t="shared" si="39"/>
        <v>-10831.391539743354</v>
      </c>
      <c r="G50" s="38">
        <f t="shared" si="39"/>
        <v>-10831.391539743354</v>
      </c>
      <c r="H50" s="38">
        <f t="shared" si="39"/>
        <v>-11557.780171989725</v>
      </c>
      <c r="I50" s="38">
        <f t="shared" si="39"/>
        <v>-7013.5018791725597</v>
      </c>
      <c r="J50" s="38">
        <f t="shared" si="39"/>
        <v>-6434.7945801623428</v>
      </c>
      <c r="K50" s="38">
        <f t="shared" si="39"/>
        <v>-5824.6535896420974</v>
      </c>
      <c r="L50" s="38">
        <f t="shared" si="39"/>
        <v>-5181.9113301207835</v>
      </c>
      <c r="M50" s="38">
        <f t="shared" si="39"/>
        <v>78011.96837535534</v>
      </c>
      <c r="N50" s="38">
        <f t="shared" si="39"/>
        <v>83199.136016801873</v>
      </c>
      <c r="O50" s="38">
        <f t="shared" si="39"/>
        <v>86498.37660197576</v>
      </c>
      <c r="P50" s="38">
        <f t="shared" si="39"/>
        <v>87795.852251005388</v>
      </c>
      <c r="Q50" s="38">
        <f t="shared" si="39"/>
        <v>0</v>
      </c>
      <c r="R50" s="38">
        <f t="shared" si="39"/>
        <v>0</v>
      </c>
      <c r="S50" s="38">
        <f t="shared" si="39"/>
        <v>0</v>
      </c>
      <c r="T50" s="38">
        <f t="shared" si="39"/>
        <v>0</v>
      </c>
      <c r="U50" s="38">
        <f t="shared" si="39"/>
        <v>0</v>
      </c>
      <c r="V50" s="38">
        <f t="shared" si="39"/>
        <v>0</v>
      </c>
      <c r="W50" s="38">
        <f t="shared" si="39"/>
        <v>0</v>
      </c>
      <c r="X50" s="38">
        <f t="shared" si="39"/>
        <v>0</v>
      </c>
      <c r="Y50" s="38">
        <f t="shared" si="39"/>
        <v>0</v>
      </c>
      <c r="Z50" s="38">
        <f t="shared" si="39"/>
        <v>0</v>
      </c>
    </row>
    <row r="51" spans="1:26" x14ac:dyDescent="0.2">
      <c r="A51" s="9" t="s">
        <v>8</v>
      </c>
      <c r="B51" s="4"/>
      <c r="C51" s="38">
        <f t="shared" ref="C51:Z51" si="40">B51+C50</f>
        <v>0</v>
      </c>
      <c r="D51" s="38">
        <f t="shared" si="40"/>
        <v>0</v>
      </c>
      <c r="E51" s="38">
        <f t="shared" si="40"/>
        <v>0</v>
      </c>
      <c r="F51" s="38">
        <f t="shared" si="40"/>
        <v>-10831.391539743354</v>
      </c>
      <c r="G51" s="38">
        <f t="shared" si="40"/>
        <v>-21662.783079486708</v>
      </c>
      <c r="H51" s="38">
        <f t="shared" si="40"/>
        <v>-33220.563251476429</v>
      </c>
      <c r="I51" s="38">
        <f t="shared" si="40"/>
        <v>-40234.065130648989</v>
      </c>
      <c r="J51" s="38">
        <f t="shared" si="40"/>
        <v>-46668.859710811332</v>
      </c>
      <c r="K51" s="38">
        <f t="shared" si="40"/>
        <v>-52493.513300453429</v>
      </c>
      <c r="L51" s="38">
        <f t="shared" si="40"/>
        <v>-57675.424630574213</v>
      </c>
      <c r="M51" s="38">
        <f t="shared" si="40"/>
        <v>20336.543744781127</v>
      </c>
      <c r="N51" s="38">
        <f t="shared" si="40"/>
        <v>103535.679761583</v>
      </c>
      <c r="O51" s="38">
        <f t="shared" si="40"/>
        <v>190034.05636355875</v>
      </c>
      <c r="P51" s="38">
        <f t="shared" si="40"/>
        <v>277829.9086145641</v>
      </c>
      <c r="Q51" s="38">
        <f t="shared" si="40"/>
        <v>277829.9086145641</v>
      </c>
      <c r="R51" s="38">
        <f t="shared" si="40"/>
        <v>277829.9086145641</v>
      </c>
      <c r="S51" s="38">
        <f t="shared" si="40"/>
        <v>277829.9086145641</v>
      </c>
      <c r="T51" s="38">
        <f t="shared" si="40"/>
        <v>277829.9086145641</v>
      </c>
      <c r="U51" s="38">
        <f t="shared" si="40"/>
        <v>277829.9086145641</v>
      </c>
      <c r="V51" s="38">
        <f t="shared" si="40"/>
        <v>277829.9086145641</v>
      </c>
      <c r="W51" s="38">
        <f t="shared" si="40"/>
        <v>277829.9086145641</v>
      </c>
      <c r="X51" s="38">
        <f t="shared" si="40"/>
        <v>277829.9086145641</v>
      </c>
      <c r="Y51" s="38">
        <f t="shared" si="40"/>
        <v>277829.9086145641</v>
      </c>
      <c r="Z51" s="38">
        <f t="shared" si="40"/>
        <v>277829.9086145641</v>
      </c>
    </row>
    <row r="52" spans="1:26" x14ac:dyDescent="0.2">
      <c r="A52" s="9" t="s">
        <v>9</v>
      </c>
      <c r="B52" s="4">
        <f>SUM(C52:Z52)</f>
        <v>277829.9086145641</v>
      </c>
      <c r="C52" s="38">
        <f t="shared" ref="C52:Z52" si="41">MAX(MIN(C51,C50),0)</f>
        <v>0</v>
      </c>
      <c r="D52" s="38">
        <f t="shared" si="41"/>
        <v>0</v>
      </c>
      <c r="E52" s="38">
        <f t="shared" si="41"/>
        <v>0</v>
      </c>
      <c r="F52" s="38">
        <f t="shared" si="41"/>
        <v>0</v>
      </c>
      <c r="G52" s="38">
        <f t="shared" si="41"/>
        <v>0</v>
      </c>
      <c r="H52" s="38">
        <f t="shared" si="41"/>
        <v>0</v>
      </c>
      <c r="I52" s="38">
        <f t="shared" si="41"/>
        <v>0</v>
      </c>
      <c r="J52" s="38">
        <f t="shared" si="41"/>
        <v>0</v>
      </c>
      <c r="K52" s="38">
        <f t="shared" si="41"/>
        <v>0</v>
      </c>
      <c r="L52" s="38">
        <f t="shared" si="41"/>
        <v>0</v>
      </c>
      <c r="M52" s="38">
        <f t="shared" si="41"/>
        <v>20336.543744781127</v>
      </c>
      <c r="N52" s="38">
        <f t="shared" si="41"/>
        <v>83199.136016801873</v>
      </c>
      <c r="O52" s="38">
        <f t="shared" si="41"/>
        <v>86498.37660197576</v>
      </c>
      <c r="P52" s="38">
        <f t="shared" si="41"/>
        <v>87795.852251005388</v>
      </c>
      <c r="Q52" s="38">
        <f t="shared" si="41"/>
        <v>0</v>
      </c>
      <c r="R52" s="38">
        <f t="shared" si="41"/>
        <v>0</v>
      </c>
      <c r="S52" s="38">
        <f t="shared" si="41"/>
        <v>0</v>
      </c>
      <c r="T52" s="38">
        <f t="shared" si="41"/>
        <v>0</v>
      </c>
      <c r="U52" s="38">
        <f t="shared" si="41"/>
        <v>0</v>
      </c>
      <c r="V52" s="38">
        <f t="shared" si="41"/>
        <v>0</v>
      </c>
      <c r="W52" s="38">
        <f t="shared" si="41"/>
        <v>0</v>
      </c>
      <c r="X52" s="38">
        <f t="shared" si="41"/>
        <v>0</v>
      </c>
      <c r="Y52" s="38">
        <f t="shared" si="41"/>
        <v>0</v>
      </c>
      <c r="Z52" s="38">
        <f t="shared" si="41"/>
        <v>0</v>
      </c>
    </row>
    <row r="53" spans="1:26" x14ac:dyDescent="0.2">
      <c r="A53" s="9" t="s">
        <v>10</v>
      </c>
      <c r="B53" s="4">
        <f>SUM(C53:Z53)</f>
        <v>-55565.981722912838</v>
      </c>
      <c r="C53" s="38">
        <f t="shared" ref="C53:Q53" si="42">-C52*0.2</f>
        <v>0</v>
      </c>
      <c r="D53" s="38">
        <f t="shared" si="42"/>
        <v>0</v>
      </c>
      <c r="E53" s="38">
        <f t="shared" si="42"/>
        <v>0</v>
      </c>
      <c r="F53" s="38">
        <f t="shared" si="42"/>
        <v>0</v>
      </c>
      <c r="G53" s="38">
        <f t="shared" si="42"/>
        <v>0</v>
      </c>
      <c r="H53" s="38">
        <f t="shared" si="42"/>
        <v>0</v>
      </c>
      <c r="I53" s="38">
        <f t="shared" si="42"/>
        <v>0</v>
      </c>
      <c r="J53" s="38">
        <f t="shared" si="42"/>
        <v>0</v>
      </c>
      <c r="K53" s="38">
        <f t="shared" si="42"/>
        <v>0</v>
      </c>
      <c r="L53" s="38">
        <f t="shared" si="42"/>
        <v>0</v>
      </c>
      <c r="M53" s="38">
        <f t="shared" si="42"/>
        <v>-4067.3087489562258</v>
      </c>
      <c r="N53" s="38">
        <f t="shared" si="42"/>
        <v>-16639.827203360375</v>
      </c>
      <c r="O53" s="38">
        <f>-O52*0.2</f>
        <v>-17299.675320395152</v>
      </c>
      <c r="P53" s="38">
        <f t="shared" si="42"/>
        <v>-17559.17045020108</v>
      </c>
      <c r="Q53" s="38">
        <f t="shared" si="42"/>
        <v>0</v>
      </c>
      <c r="R53" s="38">
        <f>-R52*0.2</f>
        <v>0</v>
      </c>
      <c r="S53" s="38">
        <f t="shared" ref="S53:Z53" si="43">-S52*0.2</f>
        <v>0</v>
      </c>
      <c r="T53" s="38">
        <f t="shared" si="43"/>
        <v>0</v>
      </c>
      <c r="U53" s="38">
        <f t="shared" si="43"/>
        <v>0</v>
      </c>
      <c r="V53" s="38">
        <f t="shared" si="43"/>
        <v>0</v>
      </c>
      <c r="W53" s="38">
        <f t="shared" si="43"/>
        <v>0</v>
      </c>
      <c r="X53" s="38">
        <f t="shared" si="43"/>
        <v>0</v>
      </c>
      <c r="Y53" s="38">
        <f t="shared" si="43"/>
        <v>0</v>
      </c>
      <c r="Z53" s="38">
        <f t="shared" si="43"/>
        <v>0</v>
      </c>
    </row>
    <row r="54" spans="1:26" x14ac:dyDescent="0.2">
      <c r="A54" s="9" t="s">
        <v>11</v>
      </c>
      <c r="B54" s="4">
        <f>SUM(C54:Z54)</f>
        <v>222263.92689165132</v>
      </c>
      <c r="C54" s="38">
        <f t="shared" ref="C54:Z54" si="44">C50+C53</f>
        <v>0</v>
      </c>
      <c r="D54" s="38">
        <f t="shared" si="44"/>
        <v>0</v>
      </c>
      <c r="E54" s="38">
        <f t="shared" si="44"/>
        <v>0</v>
      </c>
      <c r="F54" s="38">
        <f t="shared" si="44"/>
        <v>-10831.391539743354</v>
      </c>
      <c r="G54" s="38">
        <f t="shared" si="44"/>
        <v>-10831.391539743354</v>
      </c>
      <c r="H54" s="38">
        <f t="shared" si="44"/>
        <v>-11557.780171989725</v>
      </c>
      <c r="I54" s="38">
        <f t="shared" si="44"/>
        <v>-7013.5018791725597</v>
      </c>
      <c r="J54" s="38">
        <f t="shared" si="44"/>
        <v>-6434.7945801623428</v>
      </c>
      <c r="K54" s="38">
        <f t="shared" si="44"/>
        <v>-5824.6535896420974</v>
      </c>
      <c r="L54" s="38">
        <f t="shared" si="44"/>
        <v>-5181.9113301207835</v>
      </c>
      <c r="M54" s="38">
        <f t="shared" si="44"/>
        <v>73944.659626399109</v>
      </c>
      <c r="N54" s="38">
        <f t="shared" si="44"/>
        <v>66559.308813441501</v>
      </c>
      <c r="O54" s="38">
        <f t="shared" si="44"/>
        <v>69198.701281580608</v>
      </c>
      <c r="P54" s="38">
        <f t="shared" si="44"/>
        <v>70236.681800804305</v>
      </c>
      <c r="Q54" s="38">
        <f t="shared" si="44"/>
        <v>0</v>
      </c>
      <c r="R54" s="38">
        <f t="shared" si="44"/>
        <v>0</v>
      </c>
      <c r="S54" s="38">
        <f t="shared" si="44"/>
        <v>0</v>
      </c>
      <c r="T54" s="38">
        <f t="shared" si="44"/>
        <v>0</v>
      </c>
      <c r="U54" s="38">
        <f t="shared" si="44"/>
        <v>0</v>
      </c>
      <c r="V54" s="38">
        <f t="shared" si="44"/>
        <v>0</v>
      </c>
      <c r="W54" s="38">
        <f t="shared" si="44"/>
        <v>0</v>
      </c>
      <c r="X54" s="38">
        <f t="shared" si="44"/>
        <v>0</v>
      </c>
      <c r="Y54" s="38">
        <f t="shared" si="44"/>
        <v>0</v>
      </c>
      <c r="Z54" s="38">
        <f t="shared" si="44"/>
        <v>0</v>
      </c>
    </row>
    <row r="55" spans="1:26" x14ac:dyDescent="0.2">
      <c r="A55" s="9" t="s">
        <v>8</v>
      </c>
      <c r="B55" s="4"/>
      <c r="C55" s="38">
        <f t="shared" ref="C55:Z55" si="45">B55+C54</f>
        <v>0</v>
      </c>
      <c r="D55" s="38">
        <f t="shared" si="45"/>
        <v>0</v>
      </c>
      <c r="E55" s="38">
        <f t="shared" si="45"/>
        <v>0</v>
      </c>
      <c r="F55" s="38">
        <f t="shared" si="45"/>
        <v>-10831.391539743354</v>
      </c>
      <c r="G55" s="38">
        <f t="shared" si="45"/>
        <v>-21662.783079486708</v>
      </c>
      <c r="H55" s="38">
        <f t="shared" si="45"/>
        <v>-33220.563251476429</v>
      </c>
      <c r="I55" s="38">
        <f t="shared" si="45"/>
        <v>-40234.065130648989</v>
      </c>
      <c r="J55" s="38">
        <f t="shared" si="45"/>
        <v>-46668.859710811332</v>
      </c>
      <c r="K55" s="38">
        <f t="shared" si="45"/>
        <v>-52493.513300453429</v>
      </c>
      <c r="L55" s="38">
        <f t="shared" si="45"/>
        <v>-57675.424630574213</v>
      </c>
      <c r="M55" s="38">
        <f t="shared" si="45"/>
        <v>16269.234995824896</v>
      </c>
      <c r="N55" s="38">
        <f t="shared" si="45"/>
        <v>82828.543809266397</v>
      </c>
      <c r="O55" s="38">
        <f t="shared" si="45"/>
        <v>152027.24509084702</v>
      </c>
      <c r="P55" s="38">
        <f t="shared" si="45"/>
        <v>222263.92689165132</v>
      </c>
      <c r="Q55" s="38">
        <f t="shared" si="45"/>
        <v>222263.92689165132</v>
      </c>
      <c r="R55" s="38">
        <f t="shared" si="45"/>
        <v>222263.92689165132</v>
      </c>
      <c r="S55" s="38">
        <f t="shared" si="45"/>
        <v>222263.92689165132</v>
      </c>
      <c r="T55" s="38">
        <f t="shared" si="45"/>
        <v>222263.92689165132</v>
      </c>
      <c r="U55" s="38">
        <f t="shared" si="45"/>
        <v>222263.92689165132</v>
      </c>
      <c r="V55" s="38">
        <f t="shared" si="45"/>
        <v>222263.92689165132</v>
      </c>
      <c r="W55" s="38">
        <f t="shared" si="45"/>
        <v>222263.92689165132</v>
      </c>
      <c r="X55" s="38">
        <f t="shared" si="45"/>
        <v>222263.92689165132</v>
      </c>
      <c r="Y55" s="38">
        <f t="shared" si="45"/>
        <v>222263.92689165132</v>
      </c>
      <c r="Z55" s="38">
        <f t="shared" si="45"/>
        <v>222263.92689165132</v>
      </c>
    </row>
    <row r="56" spans="1:26" x14ac:dyDescent="0.2">
      <c r="A56" s="21"/>
      <c r="B56" s="22">
        <f>IFERROR(B53/B52,0)</f>
        <v>-0.20000000000000007</v>
      </c>
      <c r="C56" s="22"/>
      <c r="D56" s="22"/>
      <c r="E56" s="22"/>
      <c r="F56" s="22"/>
      <c r="G56" s="23"/>
      <c r="H56" s="127"/>
      <c r="I56" s="127"/>
      <c r="J56" s="127"/>
      <c r="K56" s="127"/>
      <c r="L56" s="127"/>
      <c r="M56" s="127"/>
      <c r="N56" s="127"/>
      <c r="O56" s="127"/>
      <c r="P56" s="127"/>
    </row>
    <row r="57" spans="1:26" hidden="1" x14ac:dyDescent="0.2"/>
    <row r="58" spans="1:26" hidden="1" x14ac:dyDescent="0.2"/>
    <row r="59" spans="1:26" x14ac:dyDescent="0.2"/>
    <row r="60" spans="1:26" x14ac:dyDescent="0.2"/>
  </sheetData>
  <mergeCells count="6">
    <mergeCell ref="W10:Z10"/>
    <mergeCell ref="C10:F10"/>
    <mergeCell ref="G10:J10"/>
    <mergeCell ref="K10:N10"/>
    <mergeCell ref="O10:R10"/>
    <mergeCell ref="S10:V10"/>
  </mergeCells>
  <conditionalFormatting sqref="B19:Z21 B18:F18 B27:F27 B24:F24 B17:Z17">
    <cfRule type="cellIs" dxfId="206" priority="41" operator="equal">
      <formula>0</formula>
    </cfRule>
  </conditionalFormatting>
  <conditionalFormatting sqref="B41:Z41">
    <cfRule type="cellIs" dxfId="205" priority="30" operator="equal">
      <formula>0</formula>
    </cfRule>
  </conditionalFormatting>
  <conditionalFormatting sqref="B23:F23">
    <cfRule type="cellIs" dxfId="204" priority="40" operator="equal">
      <formula>0</formula>
    </cfRule>
  </conditionalFormatting>
  <conditionalFormatting sqref="B25:F25">
    <cfRule type="cellIs" dxfId="203" priority="39" operator="equal">
      <formula>0</formula>
    </cfRule>
  </conditionalFormatting>
  <conditionalFormatting sqref="B26:F26">
    <cfRule type="cellIs" dxfId="202" priority="38" operator="equal">
      <formula>0</formula>
    </cfRule>
  </conditionalFormatting>
  <conditionalFormatting sqref="B28:C28 B29 C24:Z24">
    <cfRule type="cellIs" dxfId="201" priority="37" operator="equal">
      <formula>0</formula>
    </cfRule>
  </conditionalFormatting>
  <conditionalFormatting sqref="B31:Z31">
    <cfRule type="cellIs" dxfId="200" priority="36" operator="equal">
      <formula>0</formula>
    </cfRule>
  </conditionalFormatting>
  <conditionalFormatting sqref="B32:Z32">
    <cfRule type="cellIs" dxfId="199" priority="35" operator="equal">
      <formula>0</formula>
    </cfRule>
  </conditionalFormatting>
  <conditionalFormatting sqref="B35:Z35">
    <cfRule type="cellIs" dxfId="198" priority="34" operator="equal">
      <formula>0</formula>
    </cfRule>
  </conditionalFormatting>
  <conditionalFormatting sqref="B36:Z36">
    <cfRule type="cellIs" dxfId="197" priority="33" operator="equal">
      <formula>0</formula>
    </cfRule>
  </conditionalFormatting>
  <conditionalFormatting sqref="B37:Z37">
    <cfRule type="cellIs" dxfId="196" priority="32" operator="equal">
      <formula>0</formula>
    </cfRule>
  </conditionalFormatting>
  <conditionalFormatting sqref="B38:Z39">
    <cfRule type="cellIs" dxfId="195" priority="31" operator="equal">
      <formula>0</formula>
    </cfRule>
  </conditionalFormatting>
  <conditionalFormatting sqref="B45:Z45">
    <cfRule type="cellIs" dxfId="194" priority="28" operator="equal">
      <formula>0</formula>
    </cfRule>
  </conditionalFormatting>
  <conditionalFormatting sqref="B43:Z43">
    <cfRule type="cellIs" dxfId="193" priority="29" operator="equal">
      <formula>0</formula>
    </cfRule>
  </conditionalFormatting>
  <conditionalFormatting sqref="C46:Z46">
    <cfRule type="cellIs" dxfId="192" priority="27" operator="equal">
      <formula>0</formula>
    </cfRule>
  </conditionalFormatting>
  <conditionalFormatting sqref="C48:Z55">
    <cfRule type="cellIs" dxfId="191" priority="26" operator="equal">
      <formula>0</formula>
    </cfRule>
  </conditionalFormatting>
  <conditionalFormatting sqref="B33:Z33">
    <cfRule type="cellIs" dxfId="190" priority="25" operator="equal">
      <formula>0</formula>
    </cfRule>
  </conditionalFormatting>
  <conditionalFormatting sqref="G23:Z23">
    <cfRule type="cellIs" dxfId="189" priority="24" operator="equal">
      <formula>0</formula>
    </cfRule>
  </conditionalFormatting>
  <conditionalFormatting sqref="C25:Z25">
    <cfRule type="cellIs" dxfId="188" priority="23" operator="equal">
      <formula>0</formula>
    </cfRule>
  </conditionalFormatting>
  <conditionalFormatting sqref="G26:Z26">
    <cfRule type="cellIs" dxfId="187" priority="22" operator="equal">
      <formula>0</formula>
    </cfRule>
  </conditionalFormatting>
  <conditionalFormatting sqref="G27:Z27 D28:Z29 C24:Z24">
    <cfRule type="cellIs" dxfId="186" priority="21" operator="equal">
      <formula>0</formula>
    </cfRule>
  </conditionalFormatting>
  <conditionalFormatting sqref="C18:Z18">
    <cfRule type="cellIs" dxfId="185" priority="20" operator="equal">
      <formula>0</formula>
    </cfRule>
  </conditionalFormatting>
  <conditionalFormatting sqref="C29">
    <cfRule type="cellIs" dxfId="184" priority="16" operator="equal">
      <formula>0</formula>
    </cfRule>
  </conditionalFormatting>
  <conditionalFormatting sqref="F29">
    <cfRule type="cellIs" dxfId="183" priority="19" operator="equal">
      <formula>0</formula>
    </cfRule>
  </conditionalFormatting>
  <conditionalFormatting sqref="E29">
    <cfRule type="cellIs" dxfId="182" priority="18" operator="equal">
      <formula>0</formula>
    </cfRule>
  </conditionalFormatting>
  <conditionalFormatting sqref="D29">
    <cfRule type="cellIs" dxfId="181" priority="17" operator="equal">
      <formula>0</formula>
    </cfRule>
  </conditionalFormatting>
  <conditionalFormatting sqref="D28">
    <cfRule type="cellIs" dxfId="180" priority="13" operator="equal">
      <formula>0</formula>
    </cfRule>
  </conditionalFormatting>
  <conditionalFormatting sqref="F28">
    <cfRule type="cellIs" dxfId="179" priority="15" operator="equal">
      <formula>0</formula>
    </cfRule>
  </conditionalFormatting>
  <conditionalFormatting sqref="E28">
    <cfRule type="cellIs" dxfId="178" priority="14" operator="equal">
      <formula>0</formula>
    </cfRule>
  </conditionalFormatting>
  <conditionalFormatting sqref="C24:Z24">
    <cfRule type="cellIs" dxfId="177" priority="12" operator="equal">
      <formula>0</formula>
    </cfRule>
  </conditionalFormatting>
  <conditionalFormatting sqref="G24">
    <cfRule type="cellIs" dxfId="176" priority="11" operator="equal">
      <formula>0</formula>
    </cfRule>
  </conditionalFormatting>
  <conditionalFormatting sqref="H24">
    <cfRule type="cellIs" dxfId="175" priority="10" operator="equal">
      <formula>0</formula>
    </cfRule>
  </conditionalFormatting>
  <conditionalFormatting sqref="I24">
    <cfRule type="cellIs" dxfId="174" priority="9" operator="equal">
      <formula>0</formula>
    </cfRule>
  </conditionalFormatting>
  <conditionalFormatting sqref="J24">
    <cfRule type="cellIs" dxfId="173" priority="8" operator="equal">
      <formula>0</formula>
    </cfRule>
  </conditionalFormatting>
  <conditionalFormatting sqref="G24">
    <cfRule type="cellIs" dxfId="172" priority="7" operator="equal">
      <formula>0</formula>
    </cfRule>
  </conditionalFormatting>
  <conditionalFormatting sqref="F24">
    <cfRule type="cellIs" dxfId="171" priority="6" operator="equal">
      <formula>0</formula>
    </cfRule>
  </conditionalFormatting>
  <conditionalFormatting sqref="C24:Z24">
    <cfRule type="cellIs" dxfId="170" priority="5" operator="equal">
      <formula>0</formula>
    </cfRule>
  </conditionalFormatting>
  <conditionalFormatting sqref="B46">
    <cfRule type="cellIs" dxfId="169" priority="4" operator="equal">
      <formula>0</formula>
    </cfRule>
  </conditionalFormatting>
  <conditionalFormatting sqref="B48 B50:B55">
    <cfRule type="cellIs" dxfId="168" priority="3" operator="equal">
      <formula>0</formula>
    </cfRule>
  </conditionalFormatting>
  <conditionalFormatting sqref="B49">
    <cfRule type="cellIs" dxfId="167" priority="2" operator="equal">
      <formula>0</formula>
    </cfRule>
  </conditionalFormatting>
  <conditionalFormatting sqref="C15:V15">
    <cfRule type="cellIs" dxfId="166" priority="1" operator="equal">
      <formula>0</formula>
    </cfRule>
  </conditionalFormatting>
  <pageMargins left="0.64" right="0.56999999999999995" top="0.47244094488188981" bottom="0.39370078740157483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60"/>
  <sheetViews>
    <sheetView zoomScale="70" zoomScaleNormal="70" zoomScaleSheetLayoutView="70" workbookViewId="0">
      <selection activeCell="C1" sqref="C1:D1048576"/>
    </sheetView>
  </sheetViews>
  <sheetFormatPr defaultColWidth="0" defaultRowHeight="12.75" customHeight="1" zeroHeight="1" outlineLevelCol="1" x14ac:dyDescent="0.2"/>
  <cols>
    <col min="1" max="1" width="36.42578125" bestFit="1" customWidth="1"/>
    <col min="2" max="2" width="14.140625" style="7" customWidth="1"/>
    <col min="3" max="4" width="9.28515625" style="7" hidden="1" customWidth="1" outlineLevel="1"/>
    <col min="5" max="5" width="9.28515625" style="7" customWidth="1" collapsed="1"/>
    <col min="6" max="6" width="9.28515625" style="7" bestFit="1" customWidth="1"/>
    <col min="7" max="7" width="9.28515625" style="12" bestFit="1" customWidth="1"/>
    <col min="8" max="8" width="9.28515625" style="12" customWidth="1"/>
    <col min="9" max="9" width="9.28515625" style="12" bestFit="1" customWidth="1"/>
    <col min="10" max="18" width="9.28515625" bestFit="1" customWidth="1"/>
    <col min="19" max="22" width="9.28515625" customWidth="1"/>
    <col min="23" max="26" width="9.28515625" hidden="1" customWidth="1"/>
    <col min="27" max="16384" width="9.140625" hidden="1"/>
  </cols>
  <sheetData>
    <row r="1" spans="1:26" ht="20.25" x14ac:dyDescent="0.3">
      <c r="A1" s="33" t="s">
        <v>88</v>
      </c>
      <c r="Q1" s="156">
        <f>B24/B23</f>
        <v>3.9918175930957513E-2</v>
      </c>
      <c r="R1" s="155">
        <v>5.9433994372292851E-3</v>
      </c>
    </row>
    <row r="2" spans="1:26" x14ac:dyDescent="0.2">
      <c r="A2" s="50" t="s">
        <v>89</v>
      </c>
      <c r="B2" s="53"/>
      <c r="C2" s="53"/>
      <c r="D2" s="53"/>
      <c r="E2" s="53"/>
      <c r="F2" s="53"/>
      <c r="G2" s="68"/>
      <c r="H2" s="23"/>
      <c r="I2" s="23"/>
      <c r="J2" s="24"/>
    </row>
    <row r="3" spans="1:26" x14ac:dyDescent="0.2">
      <c r="A3" s="50"/>
      <c r="B3" s="53"/>
      <c r="C3" s="53"/>
      <c r="D3" s="53"/>
      <c r="E3" s="53"/>
      <c r="F3" s="53"/>
      <c r="G3" s="69"/>
      <c r="H3" s="31"/>
      <c r="J3" s="12"/>
    </row>
    <row r="4" spans="1:26" x14ac:dyDescent="0.2">
      <c r="A4" s="60" t="s">
        <v>56</v>
      </c>
      <c r="B4" s="55">
        <f>'Э1 (СЗ) (2)'!B4*(1+'ИДиР (2)'!B27/2)</f>
        <v>39.14</v>
      </c>
      <c r="C4" s="53"/>
      <c r="D4" s="53"/>
      <c r="E4" s="53"/>
      <c r="F4" s="50"/>
      <c r="G4" s="96"/>
      <c r="H4"/>
      <c r="I4"/>
    </row>
    <row r="5" spans="1:26" x14ac:dyDescent="0.2">
      <c r="A5" s="60" t="s">
        <v>48</v>
      </c>
      <c r="B5" s="37">
        <f>'ИДиР (2)'!D7</f>
        <v>11345.625</v>
      </c>
      <c r="C5" s="53"/>
      <c r="D5" s="53"/>
      <c r="E5" s="53"/>
      <c r="F5" s="50"/>
      <c r="G5" s="50"/>
      <c r="H5"/>
      <c r="I5"/>
    </row>
    <row r="6" spans="1:26" x14ac:dyDescent="0.2">
      <c r="A6" s="60" t="s">
        <v>151</v>
      </c>
      <c r="B6" s="37">
        <f>B4*B5</f>
        <v>444067.76250000001</v>
      </c>
      <c r="C6" s="53"/>
      <c r="D6" s="53"/>
      <c r="E6" s="53"/>
      <c r="F6" s="50"/>
      <c r="G6" s="50"/>
      <c r="H6"/>
      <c r="I6"/>
      <c r="N6" s="52"/>
    </row>
    <row r="7" spans="1:26" x14ac:dyDescent="0.2">
      <c r="A7" s="70" t="s">
        <v>149</v>
      </c>
      <c r="B7" s="37">
        <f>B6*'ИДиР (2)'!D11</f>
        <v>22203.388125000001</v>
      </c>
      <c r="C7" s="53"/>
      <c r="D7" s="53"/>
      <c r="E7" s="53"/>
      <c r="F7" s="72"/>
      <c r="G7" s="72"/>
      <c r="H7" s="52"/>
      <c r="I7" s="52"/>
      <c r="J7" s="52"/>
      <c r="K7" s="52"/>
      <c r="M7" s="52"/>
    </row>
    <row r="8" spans="1:26" x14ac:dyDescent="0.2">
      <c r="A8" s="60" t="s">
        <v>49</v>
      </c>
      <c r="B8" s="54">
        <f>'ИДиР (2)'!D13</f>
        <v>0.5</v>
      </c>
      <c r="C8" s="53"/>
      <c r="D8" s="53"/>
      <c r="F8" s="50"/>
      <c r="G8" s="50"/>
      <c r="H8"/>
      <c r="M8" s="52"/>
    </row>
    <row r="9" spans="1:26" x14ac:dyDescent="0.2"/>
    <row r="10" spans="1:26" s="63" customFormat="1" ht="15" x14ac:dyDescent="0.25">
      <c r="A10" s="61" t="s">
        <v>59</v>
      </c>
      <c r="B10" s="62"/>
      <c r="C10" s="194">
        <v>2020</v>
      </c>
      <c r="D10" s="194"/>
      <c r="E10" s="194"/>
      <c r="F10" s="194"/>
      <c r="G10" s="194">
        <f>C10+1</f>
        <v>2021</v>
      </c>
      <c r="H10" s="194"/>
      <c r="I10" s="194"/>
      <c r="J10" s="194"/>
      <c r="K10" s="194">
        <f>G10+1</f>
        <v>2022</v>
      </c>
      <c r="L10" s="194"/>
      <c r="M10" s="194"/>
      <c r="N10" s="194"/>
      <c r="O10" s="194">
        <f>K10+1</f>
        <v>2023</v>
      </c>
      <c r="P10" s="194"/>
      <c r="Q10" s="194"/>
      <c r="R10" s="194"/>
      <c r="S10" s="194">
        <f>O10+1</f>
        <v>2024</v>
      </c>
      <c r="T10" s="194"/>
      <c r="U10" s="194"/>
      <c r="V10" s="194"/>
      <c r="W10" s="194">
        <f>S10+1</f>
        <v>2025</v>
      </c>
      <c r="X10" s="194"/>
      <c r="Y10" s="194"/>
      <c r="Z10" s="194"/>
    </row>
    <row r="11" spans="1:26" s="63" customFormat="1" ht="15" x14ac:dyDescent="0.25">
      <c r="A11" s="64" t="str">
        <f>A1</f>
        <v>Финансовая модель реализации проектов строительства жилья специализированным застройщиком</v>
      </c>
      <c r="B11" s="62"/>
      <c r="C11" s="62" t="s">
        <v>15</v>
      </c>
      <c r="D11" s="62" t="s">
        <v>16</v>
      </c>
      <c r="E11" s="62" t="s">
        <v>17</v>
      </c>
      <c r="F11" s="62" t="s">
        <v>18</v>
      </c>
      <c r="G11" s="62" t="s">
        <v>15</v>
      </c>
      <c r="H11" s="62" t="s">
        <v>16</v>
      </c>
      <c r="I11" s="62" t="s">
        <v>17</v>
      </c>
      <c r="J11" s="62" t="s">
        <v>18</v>
      </c>
      <c r="K11" s="62" t="s">
        <v>15</v>
      </c>
      <c r="L11" s="62" t="s">
        <v>16</v>
      </c>
      <c r="M11" s="62" t="s">
        <v>17</v>
      </c>
      <c r="N11" s="62" t="s">
        <v>18</v>
      </c>
      <c r="O11" s="62" t="s">
        <v>15</v>
      </c>
      <c r="P11" s="62" t="s">
        <v>16</v>
      </c>
      <c r="Q11" s="62" t="s">
        <v>17</v>
      </c>
      <c r="R11" s="62" t="s">
        <v>18</v>
      </c>
      <c r="S11" s="62" t="s">
        <v>15</v>
      </c>
      <c r="T11" s="62" t="s">
        <v>16</v>
      </c>
      <c r="U11" s="62" t="s">
        <v>17</v>
      </c>
      <c r="V11" s="62" t="s">
        <v>18</v>
      </c>
      <c r="W11" s="62" t="s">
        <v>15</v>
      </c>
      <c r="X11" s="62" t="s">
        <v>16</v>
      </c>
      <c r="Y11" s="62" t="s">
        <v>17</v>
      </c>
      <c r="Z11" s="62" t="s">
        <v>18</v>
      </c>
    </row>
    <row r="12" spans="1:26" x14ac:dyDescent="0.2">
      <c r="A12" s="36" t="s">
        <v>52</v>
      </c>
      <c r="B12" s="34"/>
      <c r="C12" s="35"/>
      <c r="D12" s="35"/>
      <c r="E12" s="35"/>
      <c r="F12" s="35"/>
      <c r="G12" s="35"/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19</v>
      </c>
      <c r="N12" s="35" t="s">
        <v>19</v>
      </c>
      <c r="O12" s="35" t="s">
        <v>53</v>
      </c>
      <c r="P12" s="35" t="s">
        <v>53</v>
      </c>
      <c r="Q12" s="35" t="s">
        <v>53</v>
      </c>
      <c r="R12" s="35" t="s">
        <v>53</v>
      </c>
      <c r="S12" s="35"/>
      <c r="T12" s="35"/>
      <c r="U12" s="35"/>
      <c r="V12" s="35"/>
      <c r="W12" s="90"/>
      <c r="X12" s="90"/>
      <c r="Y12" s="90"/>
      <c r="Z12" s="90"/>
    </row>
    <row r="13" spans="1:26" x14ac:dyDescent="0.2">
      <c r="A13" s="36" t="s">
        <v>83</v>
      </c>
      <c r="B13" s="34"/>
      <c r="C13" s="35"/>
      <c r="D13" s="35"/>
      <c r="E13" s="35"/>
      <c r="F13" s="35"/>
      <c r="G13" s="35"/>
      <c r="H13" s="35" t="s">
        <v>54</v>
      </c>
      <c r="I13" s="35" t="s">
        <v>54</v>
      </c>
      <c r="J13" s="35" t="s">
        <v>55</v>
      </c>
      <c r="K13" s="35" t="s">
        <v>55</v>
      </c>
      <c r="L13" s="35" t="s">
        <v>55</v>
      </c>
      <c r="M13" s="35" t="s">
        <v>55</v>
      </c>
      <c r="N13" s="35" t="s">
        <v>55</v>
      </c>
      <c r="O13" s="35" t="s">
        <v>55</v>
      </c>
      <c r="P13" s="35" t="s">
        <v>55</v>
      </c>
      <c r="Q13" s="35" t="s">
        <v>55</v>
      </c>
      <c r="R13" s="35" t="s">
        <v>55</v>
      </c>
      <c r="S13" s="35"/>
      <c r="T13" s="35"/>
      <c r="U13" s="35"/>
      <c r="V13" s="35"/>
      <c r="W13" s="90"/>
      <c r="X13" s="90"/>
      <c r="Y13" s="90"/>
      <c r="Z13" s="90"/>
    </row>
    <row r="14" spans="1:26" x14ac:dyDescent="0.2">
      <c r="A14" s="36" t="s">
        <v>45</v>
      </c>
      <c r="B14" s="51">
        <f>B17/B5</f>
        <v>66.48863759822612</v>
      </c>
      <c r="C14" s="35">
        <f>'Э1 (СЗ) (2)'!C14*(1+'ИДиР (2)'!B27/2*0)</f>
        <v>57.3</v>
      </c>
      <c r="D14" s="35">
        <f>IF(D12="С",C14*(1+ИДиР!$B$26/4),IF(D12="Э",MAX(C14*(1+ИДиР!$B$27/4),51),MAX(51,C14)))</f>
        <v>57.3</v>
      </c>
      <c r="E14" s="35">
        <f>IF(E12="С",D14*(1+ИДиР!$B$26/4),IF(E12="Э",MAX(D14*(1+ИДиР!$B$27/4),51),MAX(51,D14)))</f>
        <v>57.3</v>
      </c>
      <c r="F14" s="35">
        <f>IF(F12="С",E14*(1+ИДиР!$B$26/4),IF(F12="Э",MAX(E14*(1+ИДиР!$B$27/4),51),MAX(51,E14)))</f>
        <v>57.3</v>
      </c>
      <c r="G14" s="35">
        <f>IF(G12="С",F14*(1+ИДиР!$B$26/4),IF(G12="Э",MAX(F14*(1+ИДиР!$B$27/4),51),MAX(51,F14)))</f>
        <v>57.3</v>
      </c>
      <c r="H14" s="35">
        <f>IF(H12="С",G14*(1+ИДиР!$B$26/4),IF(H12="Э",MAX(G14*(1+ИДиР!$B$27/4),51),MAX(51,G14)))</f>
        <v>58.589249999999993</v>
      </c>
      <c r="I14" s="35">
        <f>IF(I12="С",H14*(1+ИДиР!$B$26/4),IF(I12="Э",MAX(H14*(1+ИДиР!$B$27/4),51),MAX(51,H14)))</f>
        <v>59.907508124999993</v>
      </c>
      <c r="J14" s="35">
        <f>IF(J12="С",I14*(1+ИДиР!$B$26/4),IF(J12="Э",MAX(I14*(1+ИДиР!$B$27/4),51),MAX(51,I14)))</f>
        <v>61.25542705781249</v>
      </c>
      <c r="K14" s="35">
        <f>IF(K12="С",J14*(1+ИДиР!$B$26/4),IF(K12="Э",MAX(J14*(1+ИДиР!$B$27/4),51),MAX(51,J14)))</f>
        <v>62.633674166613268</v>
      </c>
      <c r="L14" s="35">
        <f>IF(L12="С",K14*(1+ИДиР!$B$26/4),IF(L12="Э",MAX(K14*(1+ИДиР!$B$27/4),51),MAX(51,K14)))</f>
        <v>64.042931835362069</v>
      </c>
      <c r="M14" s="35">
        <f>IF(M12="С",L14*(1+ИДиР!$B$26/4),IF(M12="Э",MAX(L14*(1+ИДиР!$B$27/4),51),MAX(51,L14)))</f>
        <v>65.483897801657719</v>
      </c>
      <c r="N14" s="35">
        <f>IF(N12="С",M14*(1+ИДиР!$B$26/4),IF(N12="Э",MAX(M14*(1+ИДиР!$B$27/4),51),MAX(51,M14)))</f>
        <v>66.95728550219502</v>
      </c>
      <c r="O14" s="35">
        <f>IF(O12="С",N14*(1+ИДиР!$B$26/4),IF(O12="Э",MAX(N14*(1+ИДиР!$B$27/4),51),MAX(51,N14)))</f>
        <v>67.961644784727937</v>
      </c>
      <c r="P14" s="35">
        <f>IF(P12="С",O14*(1+ИДиР!$B$26/4),IF(P12="Э",MAX(O14*(1+ИДиР!$B$27/4),51),MAX(51,O14)))</f>
        <v>68.981069456498844</v>
      </c>
      <c r="Q14" s="35">
        <f>IF(Q12="С",P14*(1+ИДиР!$B$26/4),IF(Q12="Э",MAX(P14*(1+ИДиР!$B$27/4),51),MAX(51,P14)))</f>
        <v>70.015785498346318</v>
      </c>
      <c r="R14" s="35">
        <f>IF(R12="С",Q14*(1+ИДиР!$B$26/4),IF(R12="Э",MAX(Q14*(1+ИДиР!$B$27/4),51),MAX(51,Q14)))</f>
        <v>71.0660222808215</v>
      </c>
      <c r="S14" s="35">
        <f>IF(S12="С",R14*(1+ИДиР!$B$26/4),IF(S12="Э",MAX(R14*(1+ИДиР!$B$27/4),51),MAX(51,R14)))</f>
        <v>71.0660222808215</v>
      </c>
      <c r="T14" s="35">
        <f>IF(T12="С",S14*(1+ИДиР!$B$26/4),IF(T12="Э",MAX(S14*(1+ИДиР!$B$27/4),51),MAX(51,S14)))</f>
        <v>71.0660222808215</v>
      </c>
      <c r="U14" s="35">
        <f>IF(U12="С",T14*(1+ИДиР!$B$26/4),IF(U12="Э",MAX(T14*(1+ИДиР!$B$27/4),51),MAX(51,T14)))</f>
        <v>71.0660222808215</v>
      </c>
      <c r="V14" s="35">
        <f>IF(V12="С",U14*(1+ИДиР!$B$26/4),IF(V12="Э",MAX(U14*(1+ИДиР!$B$27/4),51),MAX(51,U14)))</f>
        <v>71.0660222808215</v>
      </c>
      <c r="W14" s="35">
        <f>'Свод (2)'!W9</f>
        <v>72.66500778213998</v>
      </c>
      <c r="X14" s="35">
        <f>'Свод (2)'!X9</f>
        <v>74.299970457238132</v>
      </c>
      <c r="Y14" s="35">
        <f>'Свод (2)'!Y9</f>
        <v>75.971719792525988</v>
      </c>
      <c r="Z14" s="35">
        <f>'Свод (2)'!Z9</f>
        <v>77.681083487857819</v>
      </c>
    </row>
    <row r="15" spans="1:26" x14ac:dyDescent="0.2">
      <c r="A15" s="36" t="s">
        <v>158</v>
      </c>
      <c r="B15" s="174">
        <f t="shared" ref="B15:B20" si="0">SUM(C15:Z15)</f>
        <v>11345.625</v>
      </c>
      <c r="C15" s="173">
        <f>IF(C13="Р",$B$5/COUNTIF(13:13,"Р"),0)</f>
        <v>0</v>
      </c>
      <c r="D15" s="173">
        <f t="shared" ref="D15:V15" si="1">IF(D13="Р",$B$5/COUNTIF(13:13,"Р"),0)</f>
        <v>0</v>
      </c>
      <c r="E15" s="173">
        <f t="shared" si="1"/>
        <v>0</v>
      </c>
      <c r="F15" s="173">
        <f t="shared" si="1"/>
        <v>0</v>
      </c>
      <c r="G15" s="173">
        <f t="shared" si="1"/>
        <v>0</v>
      </c>
      <c r="H15" s="173">
        <f t="shared" si="1"/>
        <v>0</v>
      </c>
      <c r="I15" s="173">
        <f t="shared" si="1"/>
        <v>0</v>
      </c>
      <c r="J15" s="173">
        <f t="shared" si="1"/>
        <v>1260.625</v>
      </c>
      <c r="K15" s="173">
        <f t="shared" si="1"/>
        <v>1260.625</v>
      </c>
      <c r="L15" s="173">
        <f t="shared" si="1"/>
        <v>1260.625</v>
      </c>
      <c r="M15" s="173">
        <f t="shared" si="1"/>
        <v>1260.625</v>
      </c>
      <c r="N15" s="173">
        <f t="shared" si="1"/>
        <v>1260.625</v>
      </c>
      <c r="O15" s="173">
        <f t="shared" si="1"/>
        <v>1260.625</v>
      </c>
      <c r="P15" s="173">
        <f t="shared" si="1"/>
        <v>1260.625</v>
      </c>
      <c r="Q15" s="173">
        <f t="shared" si="1"/>
        <v>1260.625</v>
      </c>
      <c r="R15" s="173">
        <f t="shared" si="1"/>
        <v>1260.625</v>
      </c>
      <c r="S15" s="173">
        <f t="shared" si="1"/>
        <v>0</v>
      </c>
      <c r="T15" s="173">
        <f t="shared" si="1"/>
        <v>0</v>
      </c>
      <c r="U15" s="173">
        <f t="shared" si="1"/>
        <v>0</v>
      </c>
      <c r="V15" s="173">
        <f t="shared" si="1"/>
        <v>0</v>
      </c>
      <c r="W15" s="35"/>
      <c r="X15" s="35"/>
      <c r="Y15" s="35"/>
      <c r="Z15" s="35"/>
    </row>
    <row r="16" spans="1:26" s="44" customFormat="1" x14ac:dyDescent="0.2">
      <c r="A16" s="43" t="s">
        <v>12</v>
      </c>
      <c r="B16" s="49">
        <f t="shared" si="0"/>
        <v>776690.50067986094</v>
      </c>
      <c r="C16" s="49">
        <f t="shared" ref="C16:Z16" si="2">SUM(C17:C20)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11167.675864743354</v>
      </c>
      <c r="I16" s="49">
        <f t="shared" si="2"/>
        <v>11167.675864743354</v>
      </c>
      <c r="J16" s="49">
        <f t="shared" si="2"/>
        <v>77220.12273475487</v>
      </c>
      <c r="K16" s="49">
        <f t="shared" si="2"/>
        <v>78957.575496286852</v>
      </c>
      <c r="L16" s="49">
        <f t="shared" si="2"/>
        <v>80734.120944953305</v>
      </c>
      <c r="M16" s="49">
        <f t="shared" si="2"/>
        <v>82550.638666214756</v>
      </c>
      <c r="N16" s="49">
        <f t="shared" si="2"/>
        <v>84408.028036204589</v>
      </c>
      <c r="O16" s="49">
        <f t="shared" si="2"/>
        <v>85674.148456747658</v>
      </c>
      <c r="P16" s="49">
        <f t="shared" si="2"/>
        <v>86959.260683598855</v>
      </c>
      <c r="Q16" s="49">
        <f t="shared" si="2"/>
        <v>88263.649593852824</v>
      </c>
      <c r="R16" s="49">
        <f t="shared" si="2"/>
        <v>89587.604337760597</v>
      </c>
      <c r="S16" s="49">
        <f t="shared" si="2"/>
        <v>0</v>
      </c>
      <c r="T16" s="49">
        <f t="shared" si="2"/>
        <v>0</v>
      </c>
      <c r="U16" s="49">
        <f t="shared" si="2"/>
        <v>0</v>
      </c>
      <c r="V16" s="49">
        <f t="shared" si="2"/>
        <v>0</v>
      </c>
      <c r="W16" s="49">
        <f t="shared" si="2"/>
        <v>0</v>
      </c>
      <c r="X16" s="49">
        <f t="shared" si="2"/>
        <v>0</v>
      </c>
      <c r="Y16" s="49">
        <f t="shared" si="2"/>
        <v>0</v>
      </c>
      <c r="Z16" s="49">
        <f t="shared" si="2"/>
        <v>0</v>
      </c>
    </row>
    <row r="17" spans="1:26" x14ac:dyDescent="0.2">
      <c r="A17" s="9" t="s">
        <v>44</v>
      </c>
      <c r="B17" s="4">
        <f t="shared" si="0"/>
        <v>754355.14895037422</v>
      </c>
      <c r="C17" s="38"/>
      <c r="D17" s="38"/>
      <c r="E17" s="38">
        <f t="shared" ref="E17:Z17" si="3">IF(E13="Р",$B$5*E14/COUNTIF(13:13,"Р"),0)</f>
        <v>0</v>
      </c>
      <c r="F17" s="38">
        <f t="shared" si="3"/>
        <v>0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38">
        <f t="shared" si="3"/>
        <v>77220.12273475487</v>
      </c>
      <c r="K17" s="38">
        <f t="shared" si="3"/>
        <v>78957.575496286852</v>
      </c>
      <c r="L17" s="38">
        <f t="shared" si="3"/>
        <v>80734.120944953305</v>
      </c>
      <c r="M17" s="38">
        <f t="shared" si="3"/>
        <v>82550.638666214756</v>
      </c>
      <c r="N17" s="38">
        <f t="shared" si="3"/>
        <v>84408.028036204589</v>
      </c>
      <c r="O17" s="38">
        <f t="shared" si="3"/>
        <v>85674.148456747658</v>
      </c>
      <c r="P17" s="38">
        <f t="shared" si="3"/>
        <v>86959.260683598855</v>
      </c>
      <c r="Q17" s="38">
        <f t="shared" si="3"/>
        <v>88263.649593852824</v>
      </c>
      <c r="R17" s="38">
        <f t="shared" si="3"/>
        <v>89587.604337760597</v>
      </c>
      <c r="S17" s="38">
        <f t="shared" si="3"/>
        <v>0</v>
      </c>
      <c r="T17" s="38">
        <f t="shared" si="3"/>
        <v>0</v>
      </c>
      <c r="U17" s="38">
        <f t="shared" si="3"/>
        <v>0</v>
      </c>
      <c r="V17" s="38">
        <f t="shared" si="3"/>
        <v>0</v>
      </c>
      <c r="W17" s="38">
        <f t="shared" si="3"/>
        <v>0</v>
      </c>
      <c r="X17" s="38">
        <f t="shared" si="3"/>
        <v>0</v>
      </c>
      <c r="Y17" s="38">
        <f t="shared" si="3"/>
        <v>0</v>
      </c>
      <c r="Z17" s="38">
        <f t="shared" si="3"/>
        <v>0</v>
      </c>
    </row>
    <row r="18" spans="1:26" x14ac:dyDescent="0.2">
      <c r="A18" s="9" t="s">
        <v>39</v>
      </c>
      <c r="B18" s="4">
        <f t="shared" si="0"/>
        <v>0</v>
      </c>
      <c r="C18" s="39">
        <f>B44*'ИДиР (2)'!$B$22/4</f>
        <v>0</v>
      </c>
      <c r="D18" s="39">
        <f>C44*'ИДиР (2)'!$B$22/4</f>
        <v>0</v>
      </c>
      <c r="E18" s="39">
        <f>D44*'ИДиР (2)'!$B$22/4</f>
        <v>0</v>
      </c>
      <c r="F18" s="39">
        <f>E44*'ИДиР (2)'!$B$22/4</f>
        <v>0</v>
      </c>
      <c r="G18" s="39">
        <f>F44*'ИДиР (2)'!$B$22/4</f>
        <v>0</v>
      </c>
      <c r="H18" s="39">
        <f>G44*'ИДиР (2)'!$B$22/4</f>
        <v>0</v>
      </c>
      <c r="I18" s="39">
        <f>H44*'ИДиР (2)'!$B$22/4</f>
        <v>0</v>
      </c>
      <c r="J18" s="39">
        <f>I44*'ИДиР (2)'!$B$22/4</f>
        <v>0</v>
      </c>
      <c r="K18" s="39">
        <f>J44*'ИДиР (2)'!$B$22/4</f>
        <v>0</v>
      </c>
      <c r="L18" s="39">
        <f>K44*'ИДиР (2)'!$B$22/4</f>
        <v>0</v>
      </c>
      <c r="M18" s="39">
        <f>L44*'ИДиР (2)'!$B$22/4</f>
        <v>0</v>
      </c>
      <c r="N18" s="39">
        <f>M44*'ИДиР (2)'!$B$22/4</f>
        <v>0</v>
      </c>
      <c r="O18" s="39">
        <f>N44*'ИДиР (2)'!$B$22/4</f>
        <v>0</v>
      </c>
      <c r="P18" s="39">
        <f>O44*'ИДиР (2)'!$B$22/4</f>
        <v>0</v>
      </c>
      <c r="Q18" s="39">
        <f>P44*'ИДиР (2)'!$B$22/4</f>
        <v>0</v>
      </c>
      <c r="R18" s="39">
        <f>Q44*'ИДиР (2)'!$B$22/4</f>
        <v>0</v>
      </c>
      <c r="S18" s="39">
        <f>R44*'ИДиР (2)'!$B$22/4</f>
        <v>0</v>
      </c>
      <c r="T18" s="39">
        <f>S44*'ИДиР (2)'!$B$22/4</f>
        <v>0</v>
      </c>
      <c r="U18" s="39">
        <f>T44*'ИДиР (2)'!$B$22/4</f>
        <v>0</v>
      </c>
      <c r="V18" s="39">
        <f>U44*'ИДиР (2)'!$B$22/4</f>
        <v>0</v>
      </c>
      <c r="W18" s="39">
        <f>V44*'ИДиР (2)'!$B$22/4</f>
        <v>0</v>
      </c>
      <c r="X18" s="39">
        <f>W44*'ИДиР (2)'!$B$22/4</f>
        <v>0</v>
      </c>
      <c r="Y18" s="39">
        <f>X44*'ИДиР (2)'!$B$22/4</f>
        <v>0</v>
      </c>
      <c r="Z18" s="39">
        <f>Y44*'ИДиР (2)'!$B$22/4</f>
        <v>0</v>
      </c>
    </row>
    <row r="19" spans="1:26" x14ac:dyDescent="0.2">
      <c r="A19" s="9" t="s">
        <v>20</v>
      </c>
      <c r="B19" s="4">
        <f t="shared" si="0"/>
        <v>11233.657666986708</v>
      </c>
      <c r="C19" s="38"/>
      <c r="D19" s="38"/>
      <c r="E19" s="38">
        <f t="shared" ref="E19:F19" si="4">IF(E13="У",-E22-E20,0)</f>
        <v>0</v>
      </c>
      <c r="F19" s="38">
        <f t="shared" si="4"/>
        <v>0</v>
      </c>
      <c r="G19" s="38">
        <f>IF(G13="У",-G22-G20,0)</f>
        <v>0</v>
      </c>
      <c r="H19" s="38">
        <f t="shared" ref="H19:Z19" si="5">IF(H13="У",-H22-H20,0)</f>
        <v>5616.8288334933541</v>
      </c>
      <c r="I19" s="38">
        <f t="shared" si="5"/>
        <v>5616.8288334933541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0</v>
      </c>
      <c r="T19" s="38">
        <f t="shared" si="5"/>
        <v>0</v>
      </c>
      <c r="U19" s="38">
        <f t="shared" si="5"/>
        <v>0</v>
      </c>
      <c r="V19" s="38">
        <f t="shared" si="5"/>
        <v>0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0</v>
      </c>
    </row>
    <row r="20" spans="1:26" x14ac:dyDescent="0.2">
      <c r="A20" s="9" t="s">
        <v>21</v>
      </c>
      <c r="B20" s="4">
        <f t="shared" si="0"/>
        <v>11101.694062500001</v>
      </c>
      <c r="C20" s="38"/>
      <c r="D20" s="38"/>
      <c r="E20" s="38">
        <f t="shared" ref="E20:Z20" si="6">IF(E13="У",$B$7*$B$8/COUNTIF(13:13,"У"),0)</f>
        <v>0</v>
      </c>
      <c r="F20" s="38">
        <f t="shared" si="6"/>
        <v>0</v>
      </c>
      <c r="G20" s="38">
        <f t="shared" si="6"/>
        <v>0</v>
      </c>
      <c r="H20" s="38">
        <f t="shared" si="6"/>
        <v>5550.8470312500003</v>
      </c>
      <c r="I20" s="38">
        <f t="shared" si="6"/>
        <v>5550.8470312500003</v>
      </c>
      <c r="J20" s="38">
        <f t="shared" si="6"/>
        <v>0</v>
      </c>
      <c r="K20" s="38">
        <f t="shared" si="6"/>
        <v>0</v>
      </c>
      <c r="L20" s="38">
        <f t="shared" si="6"/>
        <v>0</v>
      </c>
      <c r="M20" s="38">
        <f t="shared" si="6"/>
        <v>0</v>
      </c>
      <c r="N20" s="38">
        <f t="shared" si="6"/>
        <v>0</v>
      </c>
      <c r="O20" s="38">
        <f t="shared" si="6"/>
        <v>0</v>
      </c>
      <c r="P20" s="38">
        <f t="shared" si="6"/>
        <v>0</v>
      </c>
      <c r="Q20" s="38">
        <f t="shared" si="6"/>
        <v>0</v>
      </c>
      <c r="R20" s="38">
        <f t="shared" si="6"/>
        <v>0</v>
      </c>
      <c r="S20" s="38">
        <f t="shared" si="6"/>
        <v>0</v>
      </c>
      <c r="T20" s="38">
        <f t="shared" si="6"/>
        <v>0</v>
      </c>
      <c r="U20" s="38">
        <f t="shared" si="6"/>
        <v>0</v>
      </c>
      <c r="V20" s="38">
        <f t="shared" si="6"/>
        <v>0</v>
      </c>
      <c r="W20" s="38">
        <f t="shared" si="6"/>
        <v>0</v>
      </c>
      <c r="X20" s="38">
        <f t="shared" si="6"/>
        <v>0</v>
      </c>
      <c r="Y20" s="38">
        <f t="shared" si="6"/>
        <v>0</v>
      </c>
      <c r="Z20" s="38">
        <f t="shared" si="6"/>
        <v>0</v>
      </c>
    </row>
    <row r="21" spans="1:26" s="28" customFormat="1" x14ac:dyDescent="0.2">
      <c r="A21" s="29" t="s">
        <v>22</v>
      </c>
      <c r="B21" s="65"/>
      <c r="C21" s="42">
        <f t="shared" ref="C21:Z21" si="7">B21+C20+C26</f>
        <v>0</v>
      </c>
      <c r="D21" s="42">
        <f t="shared" si="7"/>
        <v>0</v>
      </c>
      <c r="E21" s="42">
        <f t="shared" si="7"/>
        <v>0</v>
      </c>
      <c r="F21" s="42">
        <f t="shared" si="7"/>
        <v>0</v>
      </c>
      <c r="G21" s="42">
        <f t="shared" si="7"/>
        <v>0</v>
      </c>
      <c r="H21" s="42">
        <f t="shared" si="7"/>
        <v>5550.8470312500003</v>
      </c>
      <c r="I21" s="42">
        <f t="shared" si="7"/>
        <v>11101.694062500001</v>
      </c>
      <c r="J21" s="42">
        <f t="shared" si="7"/>
        <v>11101.694062500001</v>
      </c>
      <c r="K21" s="42">
        <f t="shared" si="7"/>
        <v>11101.694062500001</v>
      </c>
      <c r="L21" s="42">
        <f t="shared" si="7"/>
        <v>11101.694062500001</v>
      </c>
      <c r="M21" s="42">
        <f t="shared" si="7"/>
        <v>11101.694062500001</v>
      </c>
      <c r="N21" s="42">
        <f t="shared" si="7"/>
        <v>11101.694062500001</v>
      </c>
      <c r="O21" s="42">
        <f t="shared" si="7"/>
        <v>11101.694062500001</v>
      </c>
      <c r="P21" s="42">
        <f t="shared" si="7"/>
        <v>0</v>
      </c>
      <c r="Q21" s="42">
        <f t="shared" si="7"/>
        <v>0</v>
      </c>
      <c r="R21" s="42">
        <f t="shared" si="7"/>
        <v>0</v>
      </c>
      <c r="S21" s="42">
        <f t="shared" si="7"/>
        <v>0</v>
      </c>
      <c r="T21" s="42">
        <f t="shared" si="7"/>
        <v>0</v>
      </c>
      <c r="U21" s="42">
        <f t="shared" si="7"/>
        <v>0</v>
      </c>
      <c r="V21" s="42">
        <f t="shared" si="7"/>
        <v>0</v>
      </c>
      <c r="W21" s="42">
        <f t="shared" si="7"/>
        <v>0</v>
      </c>
      <c r="X21" s="42">
        <f t="shared" si="7"/>
        <v>0</v>
      </c>
      <c r="Y21" s="42">
        <f t="shared" si="7"/>
        <v>0</v>
      </c>
      <c r="Z21" s="42">
        <f t="shared" si="7"/>
        <v>0</v>
      </c>
    </row>
    <row r="22" spans="1:26" s="44" customFormat="1" x14ac:dyDescent="0.2">
      <c r="A22" s="43" t="s">
        <v>13</v>
      </c>
      <c r="B22" s="49">
        <f t="shared" ref="B22:B29" si="8">SUM(C22:Z22)</f>
        <v>-502401.31919917057</v>
      </c>
      <c r="C22" s="49">
        <f t="shared" ref="C22:V22" si="9">SUM(C23:C29)</f>
        <v>0</v>
      </c>
      <c r="D22" s="49">
        <f t="shared" si="9"/>
        <v>0</v>
      </c>
      <c r="E22" s="49">
        <f t="shared" si="9"/>
        <v>0</v>
      </c>
      <c r="F22" s="49">
        <f t="shared" si="9"/>
        <v>0</v>
      </c>
      <c r="G22" s="49">
        <f t="shared" si="9"/>
        <v>0</v>
      </c>
      <c r="H22" s="49">
        <f t="shared" si="9"/>
        <v>-11167.675864743354</v>
      </c>
      <c r="I22" s="49">
        <f t="shared" si="9"/>
        <v>-11167.675864743354</v>
      </c>
      <c r="J22" s="49">
        <f t="shared" si="9"/>
        <v>-91481.111519244601</v>
      </c>
      <c r="K22" s="49">
        <f t="shared" si="9"/>
        <v>-88618.993084521921</v>
      </c>
      <c r="L22" s="49">
        <f t="shared" si="9"/>
        <v>-89883.029126904701</v>
      </c>
      <c r="M22" s="49">
        <f t="shared" si="9"/>
        <v>-91157.258697690631</v>
      </c>
      <c r="N22" s="49">
        <f t="shared" si="9"/>
        <v>-92441.45496920502</v>
      </c>
      <c r="O22" s="49">
        <f t="shared" si="9"/>
        <v>-8004.6480805939464</v>
      </c>
      <c r="P22" s="49">
        <f t="shared" si="9"/>
        <v>-14922.446912890728</v>
      </c>
      <c r="Q22" s="49">
        <f t="shared" si="9"/>
        <v>-1765.2729918770565</v>
      </c>
      <c r="R22" s="49">
        <f t="shared" si="9"/>
        <v>-1791.7520867552121</v>
      </c>
      <c r="S22" s="49">
        <f t="shared" si="9"/>
        <v>0</v>
      </c>
      <c r="T22" s="49">
        <f t="shared" si="9"/>
        <v>0</v>
      </c>
      <c r="U22" s="49">
        <f t="shared" si="9"/>
        <v>0</v>
      </c>
      <c r="V22" s="49">
        <f t="shared" si="9"/>
        <v>0</v>
      </c>
      <c r="W22" s="49">
        <f t="shared" ref="W22:Z22" si="10">SUM(W23:W27)</f>
        <v>0</v>
      </c>
      <c r="X22" s="49">
        <f t="shared" si="10"/>
        <v>0</v>
      </c>
      <c r="Y22" s="49">
        <f t="shared" si="10"/>
        <v>0</v>
      </c>
      <c r="Z22" s="49">
        <f t="shared" si="10"/>
        <v>0</v>
      </c>
    </row>
    <row r="23" spans="1:26" x14ac:dyDescent="0.2">
      <c r="A23" s="9" t="s">
        <v>23</v>
      </c>
      <c r="B23" s="4">
        <f t="shared" si="8"/>
        <v>-444067.76249999995</v>
      </c>
      <c r="C23" s="38"/>
      <c r="D23" s="38"/>
      <c r="E23" s="38">
        <f t="shared" ref="E23:Z23" si="11">IF(E12="С",IF(E13="У",-$B$7/COUNTIF(13:13,"У"),-($B$6-$B$7)/(COUNTIF(12:12,"С")-COUNTIF(13:13,"У"))),0)</f>
        <v>0</v>
      </c>
      <c r="F23" s="38">
        <f t="shared" si="11"/>
        <v>0</v>
      </c>
      <c r="G23" s="38">
        <f t="shared" si="11"/>
        <v>0</v>
      </c>
      <c r="H23" s="38">
        <f t="shared" si="11"/>
        <v>-11101.694062500001</v>
      </c>
      <c r="I23" s="38">
        <f>IF(I12="С",IF(I13="У",-$B$7/COUNTIF(13:13,"У"),-($B$6-$B$7)/(COUNTIF(12:12,"С")-COUNTIF(13:13,"У"))),0)</f>
        <v>-11101.694062500001</v>
      </c>
      <c r="J23" s="38">
        <f t="shared" si="11"/>
        <v>-84372.874875000009</v>
      </c>
      <c r="K23" s="38">
        <f t="shared" si="11"/>
        <v>-84372.874875000009</v>
      </c>
      <c r="L23" s="38">
        <f t="shared" si="11"/>
        <v>-84372.874875000009</v>
      </c>
      <c r="M23" s="38">
        <f t="shared" si="11"/>
        <v>-84372.874875000009</v>
      </c>
      <c r="N23" s="38">
        <f t="shared" si="11"/>
        <v>-84372.874875000009</v>
      </c>
      <c r="O23" s="38">
        <f t="shared" si="11"/>
        <v>0</v>
      </c>
      <c r="P23" s="38">
        <f t="shared" si="11"/>
        <v>0</v>
      </c>
      <c r="Q23" s="38">
        <f t="shared" si="11"/>
        <v>0</v>
      </c>
      <c r="R23" s="38">
        <f t="shared" si="11"/>
        <v>0</v>
      </c>
      <c r="S23" s="38">
        <f t="shared" si="11"/>
        <v>0</v>
      </c>
      <c r="T23" s="38">
        <f t="shared" si="11"/>
        <v>0</v>
      </c>
      <c r="U23" s="38">
        <f t="shared" si="11"/>
        <v>0</v>
      </c>
      <c r="V23" s="38">
        <f t="shared" si="11"/>
        <v>0</v>
      </c>
      <c r="W23" s="38">
        <f t="shared" si="11"/>
        <v>0</v>
      </c>
      <c r="X23" s="38">
        <f t="shared" si="11"/>
        <v>0</v>
      </c>
      <c r="Y23" s="38">
        <f t="shared" si="11"/>
        <v>0</v>
      </c>
      <c r="Z23" s="38">
        <f t="shared" si="11"/>
        <v>0</v>
      </c>
    </row>
    <row r="24" spans="1:26" x14ac:dyDescent="0.2">
      <c r="A24" s="9" t="s">
        <v>145</v>
      </c>
      <c r="B24" s="4">
        <f>SUM(C24:Z24)</f>
        <v>-17726.375068741654</v>
      </c>
      <c r="C24" s="38">
        <f t="shared" ref="C24:R24" si="12">-C17*2%+C23*$R$1</f>
        <v>0</v>
      </c>
      <c r="D24" s="38">
        <f t="shared" si="12"/>
        <v>0</v>
      </c>
      <c r="E24" s="38">
        <f t="shared" si="12"/>
        <v>0</v>
      </c>
      <c r="F24" s="38">
        <f t="shared" si="12"/>
        <v>0</v>
      </c>
      <c r="G24" s="38">
        <f t="shared" si="12"/>
        <v>0</v>
      </c>
      <c r="H24" s="38">
        <f t="shared" si="12"/>
        <v>-65.981802243354196</v>
      </c>
      <c r="I24" s="38">
        <f t="shared" si="12"/>
        <v>-65.981802243354196</v>
      </c>
      <c r="J24" s="38">
        <f t="shared" si="12"/>
        <v>-2045.8641517445894</v>
      </c>
      <c r="K24" s="38">
        <f t="shared" si="12"/>
        <v>-2080.6132069752293</v>
      </c>
      <c r="L24" s="38">
        <f t="shared" si="12"/>
        <v>-2116.144115948558</v>
      </c>
      <c r="M24" s="38">
        <f t="shared" si="12"/>
        <v>-2152.474470373787</v>
      </c>
      <c r="N24" s="38">
        <f t="shared" si="12"/>
        <v>-2189.6222577735834</v>
      </c>
      <c r="O24" s="38">
        <f t="shared" si="12"/>
        <v>-1713.4829691349532</v>
      </c>
      <c r="P24" s="38">
        <f t="shared" si="12"/>
        <v>-1739.1852136719772</v>
      </c>
      <c r="Q24" s="38">
        <f t="shared" si="12"/>
        <v>-1765.2729918770565</v>
      </c>
      <c r="R24" s="38">
        <f t="shared" si="12"/>
        <v>-1791.7520867552121</v>
      </c>
      <c r="S24" s="38">
        <f t="shared" ref="S24:Z24" si="13">-S17*2%+S23*0.5933%</f>
        <v>0</v>
      </c>
      <c r="T24" s="38">
        <f t="shared" si="13"/>
        <v>0</v>
      </c>
      <c r="U24" s="38">
        <f t="shared" si="13"/>
        <v>0</v>
      </c>
      <c r="V24" s="38">
        <f t="shared" si="13"/>
        <v>0</v>
      </c>
      <c r="W24" s="38">
        <f t="shared" si="13"/>
        <v>0</v>
      </c>
      <c r="X24" s="38">
        <f t="shared" si="13"/>
        <v>0</v>
      </c>
      <c r="Y24" s="38">
        <f t="shared" si="13"/>
        <v>0</v>
      </c>
      <c r="Z24" s="38">
        <f t="shared" si="13"/>
        <v>0</v>
      </c>
    </row>
    <row r="25" spans="1:26" x14ac:dyDescent="0.2">
      <c r="A25" s="9" t="s">
        <v>46</v>
      </c>
      <c r="B25" s="4">
        <f t="shared" si="8"/>
        <v>-18986.632443710085</v>
      </c>
      <c r="C25" s="126">
        <f t="shared" ref="C25:G25" si="14">-B37*C39/4</f>
        <v>0</v>
      </c>
      <c r="D25" s="126">
        <f t="shared" si="14"/>
        <v>0</v>
      </c>
      <c r="E25" s="126">
        <f t="shared" si="14"/>
        <v>0</v>
      </c>
      <c r="F25" s="126">
        <f t="shared" si="14"/>
        <v>0</v>
      </c>
      <c r="G25" s="126">
        <f t="shared" si="14"/>
        <v>0</v>
      </c>
      <c r="H25" s="126">
        <f>-G37*H39/4</f>
        <v>0</v>
      </c>
      <c r="I25" s="126">
        <f t="shared" ref="I25:V25" si="15">-H37*I39/4</f>
        <v>0</v>
      </c>
      <c r="J25" s="126">
        <f t="shared" si="15"/>
        <v>0</v>
      </c>
      <c r="K25" s="126">
        <f t="shared" si="15"/>
        <v>-1321.7762537966792</v>
      </c>
      <c r="L25" s="126">
        <f t="shared" si="15"/>
        <v>-2550.2813872061415</v>
      </c>
      <c r="M25" s="126">
        <f t="shared" si="15"/>
        <v>-3788.1806035668442</v>
      </c>
      <c r="N25" s="126">
        <f t="shared" si="15"/>
        <v>-5035.229087681425</v>
      </c>
      <c r="O25" s="126">
        <f t="shared" si="15"/>
        <v>-6291.1651114589931</v>
      </c>
      <c r="P25" s="126">
        <f t="shared" si="15"/>
        <v>0</v>
      </c>
      <c r="Q25" s="126">
        <f t="shared" si="15"/>
        <v>0</v>
      </c>
      <c r="R25" s="126">
        <f t="shared" si="15"/>
        <v>0</v>
      </c>
      <c r="S25" s="126">
        <f t="shared" si="15"/>
        <v>0</v>
      </c>
      <c r="T25" s="126">
        <f t="shared" si="15"/>
        <v>0</v>
      </c>
      <c r="U25" s="126">
        <f t="shared" si="15"/>
        <v>0</v>
      </c>
      <c r="V25" s="126">
        <f t="shared" si="15"/>
        <v>0</v>
      </c>
      <c r="W25" s="38">
        <f>-V38*'ИДиР (2)'!$B$20/4-(V37-V38)*'ИДиР (2)'!$B$21/4</f>
        <v>0</v>
      </c>
      <c r="X25" s="38">
        <f>-W38*'ИДиР (2)'!$B$20/4-(W37-W38)*'ИДиР (2)'!$B$21/4</f>
        <v>0</v>
      </c>
      <c r="Y25" s="38">
        <f>-X38*'ИДиР (2)'!$B$20/4-(X37-X38)*'ИДиР (2)'!$B$21/4</f>
        <v>0</v>
      </c>
      <c r="Z25" s="38">
        <f>-Y38*'ИДиР (2)'!$B$20/4-(Y37-Y38)*'ИДиР (2)'!$B$21/4</f>
        <v>0</v>
      </c>
    </row>
    <row r="26" spans="1:26" x14ac:dyDescent="0.2">
      <c r="A26" s="9" t="s">
        <v>24</v>
      </c>
      <c r="B26" s="4">
        <f t="shared" si="8"/>
        <v>-11101.694062500001</v>
      </c>
      <c r="C26" s="38"/>
      <c r="D26" s="38"/>
      <c r="E26" s="38">
        <f t="shared" ref="E26:Z26" si="16">IF(AND(E12="Э",D21&gt;0,D37=0),-$B$20,0)</f>
        <v>0</v>
      </c>
      <c r="F26" s="38">
        <f t="shared" si="16"/>
        <v>0</v>
      </c>
      <c r="G26" s="38">
        <f t="shared" si="16"/>
        <v>0</v>
      </c>
      <c r="H26" s="38">
        <f t="shared" si="16"/>
        <v>0</v>
      </c>
      <c r="I26" s="38">
        <f t="shared" si="16"/>
        <v>0</v>
      </c>
      <c r="J26" s="38">
        <f t="shared" si="16"/>
        <v>0</v>
      </c>
      <c r="K26" s="38">
        <f t="shared" si="16"/>
        <v>0</v>
      </c>
      <c r="L26" s="38">
        <f t="shared" si="16"/>
        <v>0</v>
      </c>
      <c r="M26" s="38">
        <f t="shared" si="16"/>
        <v>0</v>
      </c>
      <c r="N26" s="38">
        <f t="shared" si="16"/>
        <v>0</v>
      </c>
      <c r="O26" s="38">
        <f t="shared" si="16"/>
        <v>0</v>
      </c>
      <c r="P26" s="38">
        <f t="shared" si="16"/>
        <v>-11101.694062500001</v>
      </c>
      <c r="Q26" s="38">
        <f t="shared" si="16"/>
        <v>0</v>
      </c>
      <c r="R26" s="38">
        <f t="shared" si="16"/>
        <v>0</v>
      </c>
      <c r="S26" s="38">
        <f t="shared" si="16"/>
        <v>0</v>
      </c>
      <c r="T26" s="38">
        <f t="shared" si="16"/>
        <v>0</v>
      </c>
      <c r="U26" s="38">
        <f t="shared" si="16"/>
        <v>0</v>
      </c>
      <c r="V26" s="38">
        <f t="shared" si="16"/>
        <v>0</v>
      </c>
      <c r="W26" s="38">
        <f t="shared" si="16"/>
        <v>0</v>
      </c>
      <c r="X26" s="38">
        <f t="shared" si="16"/>
        <v>0</v>
      </c>
      <c r="Y26" s="38">
        <f t="shared" si="16"/>
        <v>0</v>
      </c>
      <c r="Z26" s="38">
        <f t="shared" si="16"/>
        <v>0</v>
      </c>
    </row>
    <row r="27" spans="1:26" x14ac:dyDescent="0.2">
      <c r="A27" s="9" t="s">
        <v>25</v>
      </c>
      <c r="B27" s="4">
        <f t="shared" si="8"/>
        <v>-2081.5676367187502</v>
      </c>
      <c r="C27" s="38"/>
      <c r="D27" s="38"/>
      <c r="E27" s="38">
        <f>IF(E26&lt;0,-SUM($C21:E21)*7.5%*1.25/4,0)</f>
        <v>0</v>
      </c>
      <c r="F27" s="38">
        <f>IF(F26&lt;0,-SUM($C21:F21)*7.5%*1.25/4,0)</f>
        <v>0</v>
      </c>
      <c r="G27" s="38">
        <f>IF(G26&lt;0,-SUM($C21:G21)*'ИДиР (2)'!$B$19/4,0)</f>
        <v>0</v>
      </c>
      <c r="H27" s="38">
        <f>IF(H26&lt;0,-SUM($C21:H21)*'ИДиР (2)'!$B$19/4,0)</f>
        <v>0</v>
      </c>
      <c r="I27" s="38">
        <f>IF(I26&lt;0,-SUM($C21:I21)*'ИДиР (2)'!$B$19/4,0)</f>
        <v>0</v>
      </c>
      <c r="J27" s="38">
        <f>IF(J26&lt;0,-SUM($C21:J21)*'ИДиР (2)'!$B$19/4,0)</f>
        <v>0</v>
      </c>
      <c r="K27" s="38">
        <f>IF(K26&lt;0,-SUM($C21:K21)*'ИДиР (2)'!$B$19/4,0)</f>
        <v>0</v>
      </c>
      <c r="L27" s="38">
        <f>IF(L26&lt;0,-SUM($C21:L21)*'ИДиР (2)'!$B$19/4,0)</f>
        <v>0</v>
      </c>
      <c r="M27" s="38">
        <f>IF(M26&lt;0,-SUM($C21:M21)*'ИДиР (2)'!$B$19/4,0)</f>
        <v>0</v>
      </c>
      <c r="N27" s="38">
        <f>IF(N26&lt;0,-SUM($C21:N21)*'ИДиР (2)'!$B$19/4,0)</f>
        <v>0</v>
      </c>
      <c r="O27" s="38">
        <f>IF(O26&lt;0,-SUM($C21:O21)*'ИДиР (2)'!$B$19/4,0)</f>
        <v>0</v>
      </c>
      <c r="P27" s="38">
        <f>IF(P26&lt;0,-SUM($C21:P21)*'ИДиР (2)'!$B$19/4,0)</f>
        <v>-2081.5676367187502</v>
      </c>
      <c r="Q27" s="38">
        <f>IF(Q26&lt;0,-SUM($C21:Q21)*'ИДиР (2)'!$B$19/4,0)</f>
        <v>0</v>
      </c>
      <c r="R27" s="38">
        <f>IF(R26&lt;0,-SUM($C21:R21)*'ИДиР (2)'!$B$19/4,0)</f>
        <v>0</v>
      </c>
      <c r="S27" s="38">
        <f>IF(S26&lt;0,-SUM($C21:S21)*'ИДиР (2)'!$B$19/4,0)</f>
        <v>0</v>
      </c>
      <c r="T27" s="38">
        <f>IF(T26&lt;0,-SUM($C21:T21)*'ИДиР (2)'!$B$19/4,0)</f>
        <v>0</v>
      </c>
      <c r="U27" s="38">
        <f>IF(U26&lt;0,-SUM($C21:U21)*'ИДиР (2)'!$B$19/4,0)</f>
        <v>0</v>
      </c>
      <c r="V27" s="38">
        <f>IF(V26&lt;0,-SUM($C21:V21)*'ИДиР (2)'!$B$19/4,0)</f>
        <v>0</v>
      </c>
      <c r="W27" s="38">
        <f>IF(W26&lt;0,-SUM($C21:W21)*'ИДиР (2)'!$B$19/4,0)</f>
        <v>0</v>
      </c>
      <c r="X27" s="38">
        <f>IF(X26&lt;0,-SUM($C21:X21)*'ИДиР (2)'!$B$19/4,0)</f>
        <v>0</v>
      </c>
      <c r="Y27" s="38">
        <f>IF(Y26&lt;0,-SUM($C21:Y21)*'ИДиР (2)'!$B$19/4,0)</f>
        <v>0</v>
      </c>
      <c r="Z27" s="38">
        <f>IF(Z26&lt;0,-SUM($C21:Z21)*'ИДиР (2)'!$B$19/4,0)</f>
        <v>0</v>
      </c>
    </row>
    <row r="28" spans="1:26" x14ac:dyDescent="0.2">
      <c r="A28" s="9" t="s">
        <v>126</v>
      </c>
      <c r="B28" s="4">
        <f t="shared" si="8"/>
        <v>-4218.6437437500008</v>
      </c>
      <c r="C28" s="38"/>
      <c r="D28" s="38">
        <f t="shared" ref="D28:V28" si="17">IF(D13="Р",IF(AND(D13="Р",D12="С"),D23*1%,0),0)</f>
        <v>0</v>
      </c>
      <c r="E28" s="38">
        <f t="shared" si="17"/>
        <v>0</v>
      </c>
      <c r="F28" s="38">
        <f t="shared" si="17"/>
        <v>0</v>
      </c>
      <c r="G28" s="38">
        <f t="shared" si="17"/>
        <v>0</v>
      </c>
      <c r="H28" s="38">
        <f t="shared" si="17"/>
        <v>0</v>
      </c>
      <c r="I28" s="38">
        <f t="shared" si="17"/>
        <v>0</v>
      </c>
      <c r="J28" s="38">
        <f t="shared" si="17"/>
        <v>-843.72874875000014</v>
      </c>
      <c r="K28" s="38">
        <f t="shared" si="17"/>
        <v>-843.72874875000014</v>
      </c>
      <c r="L28" s="38">
        <f t="shared" si="17"/>
        <v>-843.72874875000014</v>
      </c>
      <c r="M28" s="38">
        <f t="shared" si="17"/>
        <v>-843.72874875000014</v>
      </c>
      <c r="N28" s="38">
        <f t="shared" si="17"/>
        <v>-843.72874875000014</v>
      </c>
      <c r="O28" s="38">
        <f t="shared" si="17"/>
        <v>0</v>
      </c>
      <c r="P28" s="38">
        <f t="shared" si="17"/>
        <v>0</v>
      </c>
      <c r="Q28" s="38">
        <f t="shared" si="17"/>
        <v>0</v>
      </c>
      <c r="R28" s="38">
        <f t="shared" si="17"/>
        <v>0</v>
      </c>
      <c r="S28" s="38">
        <f t="shared" si="17"/>
        <v>0</v>
      </c>
      <c r="T28" s="38">
        <f t="shared" si="17"/>
        <v>0</v>
      </c>
      <c r="U28" s="38">
        <f t="shared" si="17"/>
        <v>0</v>
      </c>
      <c r="V28" s="38">
        <f t="shared" si="17"/>
        <v>0</v>
      </c>
      <c r="W28" s="38"/>
      <c r="X28" s="38"/>
      <c r="Y28" s="38"/>
      <c r="Z28" s="38"/>
    </row>
    <row r="29" spans="1:26" x14ac:dyDescent="0.2">
      <c r="A29" s="9" t="s">
        <v>125</v>
      </c>
      <c r="B29" s="4">
        <f t="shared" si="8"/>
        <v>-4218.6437437499999</v>
      </c>
      <c r="C29" s="38"/>
      <c r="D29" s="38">
        <f>IF(D13="Р",-(IF(C44+D16+SUM(D23:D28)&lt;0,($B$6-$B$7)*1%+SUM($C$29:C29),0)),0)</f>
        <v>0</v>
      </c>
      <c r="E29" s="38">
        <f>IF(E13="Р",-(IF(D44+E16+SUM(E23:E28)&lt;0,($B$6-$B$7)*1%+SUM($C$29:D29),0)),0)</f>
        <v>0</v>
      </c>
      <c r="F29" s="38">
        <f>IF(F13="Р",-(IF(E44+F16+SUM(F23:F28)&lt;0,($B$6-$B$7)*1%+SUM($C$29:E29),0)),0)</f>
        <v>0</v>
      </c>
      <c r="G29" s="38">
        <f>IF(G13="Р",-(IF(F44+G16+SUM(G23:G28)&lt;0,($B$6-$B$7)*1%+SUM($C$29:F29),0)),0)</f>
        <v>0</v>
      </c>
      <c r="H29" s="38">
        <f>IF(H13="Р",-(IF(G44+H16+SUM(H23:H28)&lt;0,($B$6-$B$7)*1%+SUM($C$29:G29),0)),0)</f>
        <v>0</v>
      </c>
      <c r="I29" s="38">
        <f>IF(I13="Р",-(IF(H44+I16+SUM(I23:I28)&lt;0,($B$6-$B$7)*1%+SUM($C$29:H29),0)),0)</f>
        <v>0</v>
      </c>
      <c r="J29" s="38">
        <f>IF(J13="Р",-(IF(I44+J16+SUM(J23:J28)&lt;0,($B$6-$B$7)*1%+SUM($C$29:I29),0)),0)</f>
        <v>-4218.6437437499999</v>
      </c>
      <c r="K29" s="38">
        <f>IF(K13="Р",-(IF(J44+K16+SUM(K23:K28)&lt;0,($B$6-$B$7)*1%+SUM($C$29:J29),0)),0)</f>
        <v>0</v>
      </c>
      <c r="L29" s="38">
        <f>IF(L13="Р",-(IF(K44+L16+SUM(L23:L28)&lt;0,($B$6-$B$7)*1%+SUM($C$29:K29),0)),0)</f>
        <v>0</v>
      </c>
      <c r="M29" s="38">
        <f>IF(M13="Р",-(IF(L44+M16+SUM(M23:M28)&lt;0,($B$6-$B$7)*1%+SUM($C$29:L29),0)),0)</f>
        <v>0</v>
      </c>
      <c r="N29" s="38">
        <f>IF(N13="Р",-(IF(M44+N16+SUM(N23:N28)&lt;0,($B$6-$B$7)*1%+SUM($C$29:M29),0)),0)</f>
        <v>0</v>
      </c>
      <c r="O29" s="38">
        <f>IF(O13="Р",-(IF(N44+O16+SUM(O23:O28)&lt;0,($B$6-$B$7)*1%+SUM($C$29:N29),0)),0)</f>
        <v>0</v>
      </c>
      <c r="P29" s="38">
        <f>IF(P13="Р",-(IF(O44+P16+SUM(P23:P28)&lt;0,($B$6-$B$7)*1%+SUM($C$29:O29),0)),0)</f>
        <v>0</v>
      </c>
      <c r="Q29" s="38">
        <f>IF(Q13="Р",-(IF(P44+Q16+SUM(Q23:Q28)&lt;0,($B$6-$B$7)*1%+SUM($C$29:P29),0)),0)</f>
        <v>0</v>
      </c>
      <c r="R29" s="38">
        <f>IF(R13="Р",-(IF(Q44+R16+SUM(R23:R28)&lt;0,($B$6-$B$7)*1%+SUM($C$29:Q29),0)),0)</f>
        <v>0</v>
      </c>
      <c r="S29" s="38">
        <f>IF(S13="Р",-(IF(R44+S16+SUM(S23:S28)&lt;0,($B$6-$B$7)*1%+SUM($C$29:R29),0)),0)</f>
        <v>0</v>
      </c>
      <c r="T29" s="38">
        <f>IF(T13="Р",-(IF(S44+T16+SUM(T23:T28)&lt;0,($B$6-$B$7)*1%+SUM($C$29:S29),0)),0)</f>
        <v>0</v>
      </c>
      <c r="U29" s="38">
        <f>IF(U13="Р",-(IF(T44+U16+SUM(U23:U28)&lt;0,($B$6-$B$7)*1%+SUM($C$29:T29),0)),0)</f>
        <v>0</v>
      </c>
      <c r="V29" s="38">
        <f>IF(V13="Р",-(IF(U44+V16+SUM(V23:V28)&lt;0,($B$6-$B$7)*1%+SUM($C$29:U29),0)),0)</f>
        <v>0</v>
      </c>
      <c r="W29" s="38"/>
      <c r="X29" s="38"/>
      <c r="Y29" s="38"/>
      <c r="Z29" s="38"/>
    </row>
    <row r="30" spans="1:26" s="44" customFormat="1" x14ac:dyDescent="0.2">
      <c r="A30" s="43" t="s">
        <v>41</v>
      </c>
      <c r="B30" s="49"/>
      <c r="C30" s="49">
        <f t="shared" ref="C30:Z30" si="18">B44+C16+C22</f>
        <v>0</v>
      </c>
      <c r="D30" s="49">
        <f t="shared" si="18"/>
        <v>0</v>
      </c>
      <c r="E30" s="49">
        <f t="shared" si="18"/>
        <v>0</v>
      </c>
      <c r="F30" s="49">
        <f t="shared" si="18"/>
        <v>0</v>
      </c>
      <c r="G30" s="49">
        <f t="shared" si="18"/>
        <v>0</v>
      </c>
      <c r="H30" s="49">
        <f t="shared" si="18"/>
        <v>0</v>
      </c>
      <c r="I30" s="49">
        <f t="shared" si="18"/>
        <v>0</v>
      </c>
      <c r="J30" s="49">
        <f t="shared" si="18"/>
        <v>-14260.988784489731</v>
      </c>
      <c r="K30" s="49">
        <f t="shared" si="18"/>
        <v>-9661.4175882350683</v>
      </c>
      <c r="L30" s="49">
        <f t="shared" si="18"/>
        <v>-9148.9081819513958</v>
      </c>
      <c r="M30" s="49">
        <f t="shared" si="18"/>
        <v>-8606.6200314758753</v>
      </c>
      <c r="N30" s="49">
        <f t="shared" si="18"/>
        <v>-8033.4269330004317</v>
      </c>
      <c r="O30" s="49">
        <f t="shared" si="18"/>
        <v>77669.500376153708</v>
      </c>
      <c r="P30" s="49">
        <f t="shared" si="18"/>
        <v>72036.813770708133</v>
      </c>
      <c r="Q30" s="49">
        <f t="shared" si="18"/>
        <v>86498.37660197576</v>
      </c>
      <c r="R30" s="49">
        <f t="shared" si="18"/>
        <v>87795.852251005388</v>
      </c>
      <c r="S30" s="49">
        <f t="shared" si="18"/>
        <v>0</v>
      </c>
      <c r="T30" s="49">
        <f t="shared" si="18"/>
        <v>0</v>
      </c>
      <c r="U30" s="49">
        <f t="shared" si="18"/>
        <v>0</v>
      </c>
      <c r="V30" s="49">
        <f t="shared" si="18"/>
        <v>0</v>
      </c>
      <c r="W30" s="49">
        <f t="shared" si="18"/>
        <v>0</v>
      </c>
      <c r="X30" s="49">
        <f t="shared" si="18"/>
        <v>0</v>
      </c>
      <c r="Y30" s="49">
        <f t="shared" si="18"/>
        <v>0</v>
      </c>
      <c r="Z30" s="49">
        <f t="shared" si="18"/>
        <v>0</v>
      </c>
    </row>
    <row r="31" spans="1:26" x14ac:dyDescent="0.2">
      <c r="A31" s="9" t="s">
        <v>61</v>
      </c>
      <c r="B31" s="4">
        <f>SUM(C31:Z31)</f>
        <v>-403870.48587841436</v>
      </c>
      <c r="C31" s="38">
        <f t="shared" ref="C31:Z31" si="19">IF(C12="С",-C17,0)</f>
        <v>0</v>
      </c>
      <c r="D31" s="38">
        <f t="shared" si="19"/>
        <v>0</v>
      </c>
      <c r="E31" s="38">
        <f t="shared" si="19"/>
        <v>0</v>
      </c>
      <c r="F31" s="38">
        <f t="shared" si="19"/>
        <v>0</v>
      </c>
      <c r="G31" s="38">
        <f t="shared" si="19"/>
        <v>0</v>
      </c>
      <c r="H31" s="38">
        <f t="shared" si="19"/>
        <v>0</v>
      </c>
      <c r="I31" s="38">
        <f t="shared" si="19"/>
        <v>0</v>
      </c>
      <c r="J31" s="38">
        <f t="shared" si="19"/>
        <v>-77220.12273475487</v>
      </c>
      <c r="K31" s="38">
        <f t="shared" si="19"/>
        <v>-78957.575496286852</v>
      </c>
      <c r="L31" s="38">
        <f t="shared" si="19"/>
        <v>-80734.120944953305</v>
      </c>
      <c r="M31" s="38">
        <f t="shared" si="19"/>
        <v>-82550.638666214756</v>
      </c>
      <c r="N31" s="38">
        <f t="shared" si="19"/>
        <v>-84408.028036204589</v>
      </c>
      <c r="O31" s="38">
        <f t="shared" si="19"/>
        <v>0</v>
      </c>
      <c r="P31" s="38">
        <f t="shared" si="19"/>
        <v>0</v>
      </c>
      <c r="Q31" s="38">
        <f t="shared" si="19"/>
        <v>0</v>
      </c>
      <c r="R31" s="38">
        <f t="shared" si="19"/>
        <v>0</v>
      </c>
      <c r="S31" s="38">
        <f t="shared" si="19"/>
        <v>0</v>
      </c>
      <c r="T31" s="38">
        <f t="shared" si="19"/>
        <v>0</v>
      </c>
      <c r="U31" s="38">
        <f t="shared" si="19"/>
        <v>0</v>
      </c>
      <c r="V31" s="38">
        <f t="shared" si="19"/>
        <v>0</v>
      </c>
      <c r="W31" s="38">
        <f t="shared" si="19"/>
        <v>0</v>
      </c>
      <c r="X31" s="38">
        <f t="shared" si="19"/>
        <v>0</v>
      </c>
      <c r="Y31" s="38">
        <f t="shared" si="19"/>
        <v>0</v>
      </c>
      <c r="Z31" s="38">
        <f t="shared" si="19"/>
        <v>0</v>
      </c>
    </row>
    <row r="32" spans="1:26" x14ac:dyDescent="0.2">
      <c r="A32" s="9" t="s">
        <v>26</v>
      </c>
      <c r="B32" s="4">
        <f>SUM(C32:Z32)</f>
        <v>403870.48587841436</v>
      </c>
      <c r="C32" s="38">
        <f>IF(C12="П",-B33,0)</f>
        <v>0</v>
      </c>
      <c r="D32" s="38">
        <f>IF(D12="П",-C33,0)</f>
        <v>0</v>
      </c>
      <c r="E32" s="38">
        <f t="shared" ref="E32:Z32" si="20">IF(E12="Э",-D33,0)</f>
        <v>0</v>
      </c>
      <c r="F32" s="38">
        <f t="shared" si="20"/>
        <v>0</v>
      </c>
      <c r="G32" s="38">
        <f t="shared" si="20"/>
        <v>0</v>
      </c>
      <c r="H32" s="38">
        <f t="shared" si="20"/>
        <v>0</v>
      </c>
      <c r="I32" s="38">
        <f t="shared" si="20"/>
        <v>0</v>
      </c>
      <c r="J32" s="38">
        <f t="shared" si="20"/>
        <v>0</v>
      </c>
      <c r="K32" s="38">
        <f t="shared" si="20"/>
        <v>0</v>
      </c>
      <c r="L32" s="38">
        <f t="shared" si="20"/>
        <v>0</v>
      </c>
      <c r="M32" s="38">
        <f t="shared" si="20"/>
        <v>0</v>
      </c>
      <c r="N32" s="38">
        <f t="shared" si="20"/>
        <v>0</v>
      </c>
      <c r="O32" s="38">
        <f t="shared" si="20"/>
        <v>403870.48587841436</v>
      </c>
      <c r="P32" s="38">
        <f t="shared" si="20"/>
        <v>0</v>
      </c>
      <c r="Q32" s="38">
        <f t="shared" si="20"/>
        <v>0</v>
      </c>
      <c r="R32" s="38">
        <f t="shared" si="20"/>
        <v>0</v>
      </c>
      <c r="S32" s="38">
        <f t="shared" si="20"/>
        <v>0</v>
      </c>
      <c r="T32" s="38">
        <f t="shared" si="20"/>
        <v>0</v>
      </c>
      <c r="U32" s="38">
        <f t="shared" si="20"/>
        <v>0</v>
      </c>
      <c r="V32" s="38">
        <f t="shared" si="20"/>
        <v>0</v>
      </c>
      <c r="W32" s="38">
        <f t="shared" si="20"/>
        <v>0</v>
      </c>
      <c r="X32" s="38">
        <f t="shared" si="20"/>
        <v>0</v>
      </c>
      <c r="Y32" s="38">
        <f t="shared" si="20"/>
        <v>0</v>
      </c>
      <c r="Z32" s="38">
        <f t="shared" si="20"/>
        <v>0</v>
      </c>
    </row>
    <row r="33" spans="1:26" x14ac:dyDescent="0.2">
      <c r="A33" s="29" t="s">
        <v>62</v>
      </c>
      <c r="B33" s="65"/>
      <c r="C33" s="42">
        <f t="shared" ref="C33:Z33" si="21">B33+C31+C32</f>
        <v>0</v>
      </c>
      <c r="D33" s="42">
        <f t="shared" si="21"/>
        <v>0</v>
      </c>
      <c r="E33" s="42">
        <f t="shared" si="21"/>
        <v>0</v>
      </c>
      <c r="F33" s="42">
        <f t="shared" si="21"/>
        <v>0</v>
      </c>
      <c r="G33" s="42">
        <f t="shared" si="21"/>
        <v>0</v>
      </c>
      <c r="H33" s="42">
        <f t="shared" si="21"/>
        <v>0</v>
      </c>
      <c r="I33" s="42">
        <f t="shared" si="21"/>
        <v>0</v>
      </c>
      <c r="J33" s="42">
        <f t="shared" si="21"/>
        <v>-77220.12273475487</v>
      </c>
      <c r="K33" s="42">
        <f t="shared" si="21"/>
        <v>-156177.69823104172</v>
      </c>
      <c r="L33" s="42">
        <f t="shared" si="21"/>
        <v>-236911.81917599501</v>
      </c>
      <c r="M33" s="42">
        <f t="shared" si="21"/>
        <v>-319462.45784220978</v>
      </c>
      <c r="N33" s="42">
        <f t="shared" si="21"/>
        <v>-403870.48587841436</v>
      </c>
      <c r="O33" s="42">
        <f t="shared" si="21"/>
        <v>0</v>
      </c>
      <c r="P33" s="42">
        <f t="shared" si="21"/>
        <v>0</v>
      </c>
      <c r="Q33" s="42">
        <f t="shared" si="21"/>
        <v>0</v>
      </c>
      <c r="R33" s="42">
        <f t="shared" si="21"/>
        <v>0</v>
      </c>
      <c r="S33" s="42">
        <f t="shared" si="21"/>
        <v>0</v>
      </c>
      <c r="T33" s="42">
        <f t="shared" si="21"/>
        <v>0</v>
      </c>
      <c r="U33" s="42">
        <f t="shared" si="21"/>
        <v>0</v>
      </c>
      <c r="V33" s="42">
        <f t="shared" si="21"/>
        <v>0</v>
      </c>
      <c r="W33" s="42">
        <f t="shared" si="21"/>
        <v>0</v>
      </c>
      <c r="X33" s="42">
        <f t="shared" si="21"/>
        <v>0</v>
      </c>
      <c r="Y33" s="42">
        <f t="shared" si="21"/>
        <v>0</v>
      </c>
      <c r="Z33" s="42">
        <f t="shared" si="21"/>
        <v>0</v>
      </c>
    </row>
    <row r="34" spans="1:26" s="44" customFormat="1" x14ac:dyDescent="0.2">
      <c r="A34" s="43" t="s">
        <v>27</v>
      </c>
      <c r="B34" s="49"/>
      <c r="C34" s="49">
        <f t="shared" ref="C34:Z34" si="22">C30+C31+C32</f>
        <v>0</v>
      </c>
      <c r="D34" s="49">
        <f t="shared" si="22"/>
        <v>0</v>
      </c>
      <c r="E34" s="49">
        <f t="shared" si="22"/>
        <v>0</v>
      </c>
      <c r="F34" s="49">
        <f t="shared" si="22"/>
        <v>0</v>
      </c>
      <c r="G34" s="49">
        <f t="shared" si="22"/>
        <v>0</v>
      </c>
      <c r="H34" s="49">
        <f t="shared" si="22"/>
        <v>0</v>
      </c>
      <c r="I34" s="49">
        <f t="shared" si="22"/>
        <v>0</v>
      </c>
      <c r="J34" s="49">
        <f t="shared" si="22"/>
        <v>-91481.111519244601</v>
      </c>
      <c r="K34" s="49">
        <f t="shared" si="22"/>
        <v>-88618.993084521921</v>
      </c>
      <c r="L34" s="49">
        <f t="shared" si="22"/>
        <v>-89883.029126904701</v>
      </c>
      <c r="M34" s="49">
        <f t="shared" si="22"/>
        <v>-91157.258697690631</v>
      </c>
      <c r="N34" s="49">
        <f t="shared" si="22"/>
        <v>-92441.45496920502</v>
      </c>
      <c r="O34" s="49">
        <f t="shared" si="22"/>
        <v>481539.9862545681</v>
      </c>
      <c r="P34" s="49">
        <f t="shared" si="22"/>
        <v>72036.813770708133</v>
      </c>
      <c r="Q34" s="49">
        <f t="shared" si="22"/>
        <v>86498.37660197576</v>
      </c>
      <c r="R34" s="49">
        <f t="shared" si="22"/>
        <v>87795.852251005388</v>
      </c>
      <c r="S34" s="49">
        <f t="shared" si="22"/>
        <v>0</v>
      </c>
      <c r="T34" s="49">
        <f t="shared" si="22"/>
        <v>0</v>
      </c>
      <c r="U34" s="49">
        <f t="shared" si="22"/>
        <v>0</v>
      </c>
      <c r="V34" s="49">
        <f t="shared" si="22"/>
        <v>0</v>
      </c>
      <c r="W34" s="49">
        <f t="shared" si="22"/>
        <v>0</v>
      </c>
      <c r="X34" s="49">
        <f t="shared" si="22"/>
        <v>0</v>
      </c>
      <c r="Y34" s="49">
        <f t="shared" si="22"/>
        <v>0</v>
      </c>
      <c r="Z34" s="49">
        <f t="shared" si="22"/>
        <v>0</v>
      </c>
    </row>
    <row r="35" spans="1:26" x14ac:dyDescent="0.2">
      <c r="A35" s="9" t="s">
        <v>42</v>
      </c>
      <c r="B35" s="4">
        <f>SUM(C35:Z35)</f>
        <v>453581.84739756689</v>
      </c>
      <c r="C35" s="38">
        <f t="shared" ref="C35:D35" si="23">IF(C34&lt;0,-C34,0)</f>
        <v>0</v>
      </c>
      <c r="D35" s="38">
        <f t="shared" si="23"/>
        <v>0</v>
      </c>
      <c r="E35" s="38">
        <f t="shared" ref="E35:Z35" si="24">IF(E12="С",IF(E34&lt;0,-E34,0),0)</f>
        <v>0</v>
      </c>
      <c r="F35" s="38">
        <f t="shared" si="24"/>
        <v>0</v>
      </c>
      <c r="G35" s="38">
        <f t="shared" si="24"/>
        <v>0</v>
      </c>
      <c r="H35" s="38">
        <f t="shared" si="24"/>
        <v>0</v>
      </c>
      <c r="I35" s="38">
        <f t="shared" si="24"/>
        <v>0</v>
      </c>
      <c r="J35" s="38">
        <f t="shared" si="24"/>
        <v>91481.111519244601</v>
      </c>
      <c r="K35" s="38">
        <f t="shared" si="24"/>
        <v>88618.993084521921</v>
      </c>
      <c r="L35" s="38">
        <f t="shared" si="24"/>
        <v>89883.029126904701</v>
      </c>
      <c r="M35" s="38">
        <f t="shared" si="24"/>
        <v>91157.258697690631</v>
      </c>
      <c r="N35" s="38">
        <f t="shared" si="24"/>
        <v>92441.45496920502</v>
      </c>
      <c r="O35" s="38">
        <f t="shared" si="24"/>
        <v>0</v>
      </c>
      <c r="P35" s="38">
        <f t="shared" si="24"/>
        <v>0</v>
      </c>
      <c r="Q35" s="38">
        <f t="shared" si="24"/>
        <v>0</v>
      </c>
      <c r="R35" s="38">
        <f t="shared" si="24"/>
        <v>0</v>
      </c>
      <c r="S35" s="38">
        <f t="shared" si="24"/>
        <v>0</v>
      </c>
      <c r="T35" s="38">
        <f t="shared" si="24"/>
        <v>0</v>
      </c>
      <c r="U35" s="38">
        <f t="shared" si="24"/>
        <v>0</v>
      </c>
      <c r="V35" s="38">
        <f t="shared" si="24"/>
        <v>0</v>
      </c>
      <c r="W35" s="38">
        <f t="shared" si="24"/>
        <v>0</v>
      </c>
      <c r="X35" s="38">
        <f t="shared" si="24"/>
        <v>0</v>
      </c>
      <c r="Y35" s="38">
        <f t="shared" si="24"/>
        <v>0</v>
      </c>
      <c r="Z35" s="38">
        <f t="shared" si="24"/>
        <v>0</v>
      </c>
    </row>
    <row r="36" spans="1:26" x14ac:dyDescent="0.2">
      <c r="A36" s="9" t="s">
        <v>43</v>
      </c>
      <c r="B36" s="4">
        <f>SUM(C36:Z36)</f>
        <v>-453581.84739756689</v>
      </c>
      <c r="C36" s="38">
        <f t="shared" ref="C36:Z36" si="25">IF(C34&gt;0,-MIN(B37,C34),0)</f>
        <v>0</v>
      </c>
      <c r="D36" s="38">
        <f t="shared" si="25"/>
        <v>0</v>
      </c>
      <c r="E36" s="38">
        <f t="shared" si="25"/>
        <v>0</v>
      </c>
      <c r="F36" s="38">
        <f t="shared" si="25"/>
        <v>0</v>
      </c>
      <c r="G36" s="38">
        <f t="shared" si="25"/>
        <v>0</v>
      </c>
      <c r="H36" s="38">
        <f t="shared" si="25"/>
        <v>0</v>
      </c>
      <c r="I36" s="38">
        <f t="shared" si="25"/>
        <v>0</v>
      </c>
      <c r="J36" s="38">
        <f t="shared" si="25"/>
        <v>0</v>
      </c>
      <c r="K36" s="38">
        <f t="shared" si="25"/>
        <v>0</v>
      </c>
      <c r="L36" s="38">
        <f t="shared" si="25"/>
        <v>0</v>
      </c>
      <c r="M36" s="38">
        <f t="shared" si="25"/>
        <v>0</v>
      </c>
      <c r="N36" s="38">
        <f t="shared" si="25"/>
        <v>0</v>
      </c>
      <c r="O36" s="38">
        <f t="shared" si="25"/>
        <v>-453581.84739756689</v>
      </c>
      <c r="P36" s="38">
        <f t="shared" si="25"/>
        <v>0</v>
      </c>
      <c r="Q36" s="38">
        <f t="shared" si="25"/>
        <v>0</v>
      </c>
      <c r="R36" s="38">
        <f t="shared" si="25"/>
        <v>0</v>
      </c>
      <c r="S36" s="38">
        <f t="shared" si="25"/>
        <v>0</v>
      </c>
      <c r="T36" s="38">
        <f t="shared" si="25"/>
        <v>0</v>
      </c>
      <c r="U36" s="38">
        <f t="shared" si="25"/>
        <v>0</v>
      </c>
      <c r="V36" s="38">
        <f t="shared" si="25"/>
        <v>0</v>
      </c>
      <c r="W36" s="38">
        <f t="shared" si="25"/>
        <v>0</v>
      </c>
      <c r="X36" s="38">
        <f t="shared" si="25"/>
        <v>0</v>
      </c>
      <c r="Y36" s="38">
        <f t="shared" si="25"/>
        <v>0</v>
      </c>
      <c r="Z36" s="38">
        <f t="shared" si="25"/>
        <v>0</v>
      </c>
    </row>
    <row r="37" spans="1:26" x14ac:dyDescent="0.2">
      <c r="A37" s="29" t="s">
        <v>4</v>
      </c>
      <c r="B37" s="65"/>
      <c r="C37" s="42">
        <f t="shared" ref="C37:Z37" si="26">B37+C35+C36</f>
        <v>0</v>
      </c>
      <c r="D37" s="42">
        <f t="shared" si="26"/>
        <v>0</v>
      </c>
      <c r="E37" s="42">
        <f t="shared" si="26"/>
        <v>0</v>
      </c>
      <c r="F37" s="42">
        <f t="shared" si="26"/>
        <v>0</v>
      </c>
      <c r="G37" s="42">
        <f t="shared" si="26"/>
        <v>0</v>
      </c>
      <c r="H37" s="42">
        <f t="shared" si="26"/>
        <v>0</v>
      </c>
      <c r="I37" s="42">
        <f t="shared" si="26"/>
        <v>0</v>
      </c>
      <c r="J37" s="42">
        <f t="shared" si="26"/>
        <v>91481.111519244601</v>
      </c>
      <c r="K37" s="42">
        <f t="shared" si="26"/>
        <v>180100.10460376652</v>
      </c>
      <c r="L37" s="42">
        <f t="shared" si="26"/>
        <v>269983.13373067125</v>
      </c>
      <c r="M37" s="42">
        <f t="shared" si="26"/>
        <v>361140.39242836187</v>
      </c>
      <c r="N37" s="42">
        <f t="shared" si="26"/>
        <v>453581.84739756689</v>
      </c>
      <c r="O37" s="42">
        <f t="shared" si="26"/>
        <v>0</v>
      </c>
      <c r="P37" s="42">
        <f t="shared" si="26"/>
        <v>0</v>
      </c>
      <c r="Q37" s="42">
        <f t="shared" si="26"/>
        <v>0</v>
      </c>
      <c r="R37" s="42">
        <f t="shared" si="26"/>
        <v>0</v>
      </c>
      <c r="S37" s="42">
        <f t="shared" si="26"/>
        <v>0</v>
      </c>
      <c r="T37" s="42">
        <f t="shared" si="26"/>
        <v>0</v>
      </c>
      <c r="U37" s="42">
        <f t="shared" si="26"/>
        <v>0</v>
      </c>
      <c r="V37" s="42">
        <f t="shared" si="26"/>
        <v>0</v>
      </c>
      <c r="W37" s="42">
        <f t="shared" si="26"/>
        <v>0</v>
      </c>
      <c r="X37" s="42">
        <f t="shared" si="26"/>
        <v>0</v>
      </c>
      <c r="Y37" s="42">
        <f t="shared" si="26"/>
        <v>0</v>
      </c>
      <c r="Z37" s="42">
        <f t="shared" si="26"/>
        <v>0</v>
      </c>
    </row>
    <row r="38" spans="1:26" x14ac:dyDescent="0.2">
      <c r="A38" s="66" t="s">
        <v>28</v>
      </c>
      <c r="B38" s="65"/>
      <c r="C38" s="42">
        <f t="shared" ref="C38:Z38" si="27">C37+C33</f>
        <v>0</v>
      </c>
      <c r="D38" s="42">
        <f t="shared" si="27"/>
        <v>0</v>
      </c>
      <c r="E38" s="42">
        <f t="shared" si="27"/>
        <v>0</v>
      </c>
      <c r="F38" s="42">
        <f t="shared" si="27"/>
        <v>0</v>
      </c>
      <c r="G38" s="42">
        <f t="shared" si="27"/>
        <v>0</v>
      </c>
      <c r="H38" s="42">
        <f t="shared" si="27"/>
        <v>0</v>
      </c>
      <c r="I38" s="42">
        <f t="shared" si="27"/>
        <v>0</v>
      </c>
      <c r="J38" s="42">
        <f t="shared" si="27"/>
        <v>14260.988784489731</v>
      </c>
      <c r="K38" s="42">
        <f t="shared" si="27"/>
        <v>23922.406372724799</v>
      </c>
      <c r="L38" s="42">
        <f t="shared" si="27"/>
        <v>33071.314554676239</v>
      </c>
      <c r="M38" s="42">
        <f t="shared" si="27"/>
        <v>41677.934586152085</v>
      </c>
      <c r="N38" s="42">
        <f t="shared" si="27"/>
        <v>49711.361519152531</v>
      </c>
      <c r="O38" s="42">
        <f t="shared" si="27"/>
        <v>0</v>
      </c>
      <c r="P38" s="42">
        <f t="shared" si="27"/>
        <v>0</v>
      </c>
      <c r="Q38" s="42">
        <f t="shared" si="27"/>
        <v>0</v>
      </c>
      <c r="R38" s="42">
        <f t="shared" si="27"/>
        <v>0</v>
      </c>
      <c r="S38" s="42">
        <f t="shared" si="27"/>
        <v>0</v>
      </c>
      <c r="T38" s="42">
        <f t="shared" si="27"/>
        <v>0</v>
      </c>
      <c r="U38" s="42">
        <f t="shared" si="27"/>
        <v>0</v>
      </c>
      <c r="V38" s="42">
        <f t="shared" si="27"/>
        <v>0</v>
      </c>
      <c r="W38" s="42">
        <f t="shared" si="27"/>
        <v>0</v>
      </c>
      <c r="X38" s="42">
        <f t="shared" si="27"/>
        <v>0</v>
      </c>
      <c r="Y38" s="42">
        <f t="shared" si="27"/>
        <v>0</v>
      </c>
      <c r="Z38" s="42">
        <f t="shared" si="27"/>
        <v>0</v>
      </c>
    </row>
    <row r="39" spans="1:26" x14ac:dyDescent="0.2">
      <c r="A39" s="29" t="s">
        <v>124</v>
      </c>
      <c r="B39" s="65"/>
      <c r="C39" s="128">
        <f>IF(B37&gt;0,IF(B37&gt;-B33,(-B33*'ИДиР (2)'!$B$21+(B37+B33)*'ИДиР (2)'!$B$20)/B37,MAX((B37*'ИДиР (2)'!$B$21-(-B33-B37)*'ИДиР (2)'!$B$22)/B37,0.01%)),0)</f>
        <v>0</v>
      </c>
      <c r="D39" s="128">
        <f>IF(C37&gt;0,IF(C37&gt;-C33,(-C33*'ИДиР (2)'!$B$21+(C37+C33)*'ИДиР (2)'!$B$20)/C37,MAX((C37*'ИДиР (2)'!$B$21-(-C33-C37)*'ИДиР (2)'!$B$22)/C37,0.01%)),0)</f>
        <v>0</v>
      </c>
      <c r="E39" s="128">
        <f>IF(D37&gt;0,IF(D37&gt;-D33,(-D33*'ИДиР (2)'!$B$21+(D37+D33)*'ИДиР (2)'!$B$20)/D37,MAX((D37*'ИДиР (2)'!$B$21-(-D33-D37)*'ИДиР (2)'!$B$22)/D37,0.01%)),0)</f>
        <v>0</v>
      </c>
      <c r="F39" s="128">
        <f>IF(E37&gt;0,IF(E37&gt;-E33,(-E33*'ИДиР (2)'!$B$21+(E37+E33)*'ИДиР (2)'!$B$20)/E37,MAX((E37*'ИДиР (2)'!$B$21-(-E33-E37)*'ИДиР (2)'!$B$22)/E37,0.01%)),0)</f>
        <v>0</v>
      </c>
      <c r="G39" s="128">
        <f>IF(F37&gt;0,IF(F37&gt;-F33,(-F33*'ИДиР (2)'!$B$21+(F37+F33)*'ИДиР (2)'!$B$20)/F37,MAX((F37*'ИДиР (2)'!$B$21-(-F33-F37)*'ИДиР (2)'!$B$22)/F37,0.01%)),0)</f>
        <v>0</v>
      </c>
      <c r="H39" s="128">
        <f>IF(G37&gt;0,IF(G37&gt;-G33,(-G33*'ИДиР (2)'!$B$21+(G37+G33)*'ИДиР (2)'!$B$20)/G37,MAX((G37*'ИДиР (2)'!$B$21-(-G33-G37)*'ИДиР (2)'!$B$22)/G37,0.01%)),0)</f>
        <v>0</v>
      </c>
      <c r="I39" s="128">
        <f>IF(H37&gt;0,IF(H37&gt;-H33,(-H33*'ИДиР (2)'!$B$21+(H37+H33)*'ИДиР (2)'!$B$20)/H37,MAX((H37*'ИДиР (2)'!$B$21-(-H33-H37)*'ИДиР (2)'!$B$22)/H37,0.01%)),0)</f>
        <v>0</v>
      </c>
      <c r="J39" s="128">
        <f>IF(I37&gt;0,IF(I37&gt;-I33,(-I33*'ИДиР (2)'!$B$21+(I37+I33)*'ИДиР (2)'!$B$20)/I37,MAX((I37*'ИДиР (2)'!$B$21-(-I33-I37)*'ИДиР (2)'!$B$22)/I37,0.01%)),0)</f>
        <v>0</v>
      </c>
      <c r="K39" s="128">
        <f>IF(J37&gt;0,IF(J37&gt;-J33,(-J33*'ИДиР (2)'!$B$21+(J37+J33)*'ИДиР (2)'!$B$20)/J37,MAX((J37*'ИДиР (2)'!$B$21-(-J33-J37)*'ИДиР (2)'!$B$22)/J37,0.01%)),0)</f>
        <v>5.779449907617798E-2</v>
      </c>
      <c r="L39" s="128">
        <f>IF(K37&gt;0,IF(K37&gt;-K33,(-K33*'ИДиР (2)'!$B$21+(K37+K33)*'ИДиР (2)'!$B$20)/K37,MAX((K37*'ИДиР (2)'!$B$21-(-K33-K37)*'ИДиР (2)'!$B$22)/K37,0.01%)),0)</f>
        <v>5.6641419344357367E-2</v>
      </c>
      <c r="M39" s="128">
        <f>IF(L37&gt;0,IF(L37&gt;-L33,(-L33*'ИДиР (2)'!$B$21+(L37+L33)*'ИДиР (2)'!$B$20)/L37,MAX((L37*'ИДиР (2)'!$B$21-(-L33-L37)*'ИДиР (2)'!$B$22)/L37,0.01%)),0)</f>
        <v>5.6124700105834653E-2</v>
      </c>
      <c r="N39" s="128">
        <f>IF(M37&gt;0,IF(M37&gt;-M33,(-M33*'ИДиР (2)'!$B$21+(M37+M33)*'ИДиР (2)'!$B$20)/M37,MAX((M37*'ИДиР (2)'!$B$21-(-M33-M37)*'ИДиР (2)'!$B$22)/M37,0.01%)),0)</f>
        <v>5.5770323046101751E-2</v>
      </c>
      <c r="O39" s="128">
        <f>IF(N37&gt;0,IF(N37&gt;-N33,(-N33*'ИДиР (2)'!$B$21+(N37+N33)*'ИДиР (2)'!$B$20)/N37,MAX((N37*'ИДиР (2)'!$B$21-(-N33-N37)*'ИДиР (2)'!$B$22)/N37,0.01%)),0)</f>
        <v>5.5479866732362888E-2</v>
      </c>
      <c r="P39" s="128">
        <f>IF(O37&gt;0,IF(O37&gt;-O33,(-O33*'ИДиР (2)'!$B$21+(O37+O33)*'ИДиР (2)'!$B$20)/O37,MAX((O37*'ИДиР (2)'!$B$21-(-O33-O37)*'ИДиР (2)'!$B$22)/O37,0.01%)),0)</f>
        <v>0</v>
      </c>
      <c r="Q39" s="128">
        <f>IF(P37&gt;0,IF(P37&gt;-P33,(-P33*'ИДиР (2)'!$B$21+(P37+P33)*'ИДиР (2)'!$B$20)/P37,MAX((P37*'ИДиР (2)'!$B$21-(-P33-P37)*'ИДиР (2)'!$B$22)/P37,0.01%)),0)</f>
        <v>0</v>
      </c>
      <c r="R39" s="128">
        <f>IF(Q37&gt;0,IF(Q37&gt;-Q33,(-Q33*'ИДиР (2)'!$B$21+(Q37+Q33)*'ИДиР (2)'!$B$20)/Q37,MAX((Q37*'ИДиР (2)'!$B$21-(-Q33-Q37)*'ИДиР (2)'!$B$22)/Q37,0.01%)),0)</f>
        <v>0</v>
      </c>
      <c r="S39" s="128">
        <f>IF(R37&gt;0,IF(R37&gt;-R33,(-R33*'ИДиР (2)'!$B$21+(R37+R33)*'ИДиР (2)'!$B$20)/R37,MAX((R37*'ИДиР (2)'!$B$21-(-R33-R37)*'ИДиР (2)'!$B$22)/R37,0.01%)),0)</f>
        <v>0</v>
      </c>
      <c r="T39" s="128">
        <f>IF(S37&gt;0,IF(S37&gt;-S33,(-S33*'ИДиР (2)'!$B$21+(S37+S33)*'ИДиР (2)'!$B$20)/S37,MAX((S37*'ИДиР (2)'!$B$21-(-S33-S37)*'ИДиР (2)'!$B$22)/S37,0.01%)),0)</f>
        <v>0</v>
      </c>
      <c r="U39" s="128">
        <f>IF(T37&gt;0,IF(T37&gt;-T33,(-T33*'ИДиР (2)'!$B$21+(T37+T33)*'ИДиР (2)'!$B$20)/T37,MAX((T37*'ИДиР (2)'!$B$21-(-T33-T37)*'ИДиР (2)'!$B$22)/T37,0.01%)),0)</f>
        <v>0</v>
      </c>
      <c r="V39" s="128">
        <f>IF(U37&gt;0,IF(U37&gt;-U33,(-U33*'ИДиР (2)'!$B$21+(U37+U33)*'ИДиР (2)'!$B$20)/U37,MAX((U37*'ИДиР (2)'!$B$21-(-U33-U37)*'ИДиР (2)'!$B$22)/U37,0.01%)),0)</f>
        <v>0</v>
      </c>
      <c r="W39" s="42"/>
      <c r="X39" s="42"/>
      <c r="Y39" s="42"/>
      <c r="Z39" s="42"/>
    </row>
    <row r="40" spans="1:26" s="44" customFormat="1" x14ac:dyDescent="0.2">
      <c r="A40" s="43" t="s">
        <v>0</v>
      </c>
      <c r="B40" s="49"/>
      <c r="C40" s="49">
        <f t="shared" ref="C40:Z40" si="28">C34+C35+C36</f>
        <v>0</v>
      </c>
      <c r="D40" s="49">
        <f t="shared" si="28"/>
        <v>0</v>
      </c>
      <c r="E40" s="49">
        <f t="shared" si="28"/>
        <v>0</v>
      </c>
      <c r="F40" s="49">
        <f t="shared" si="28"/>
        <v>0</v>
      </c>
      <c r="G40" s="49">
        <f t="shared" si="28"/>
        <v>0</v>
      </c>
      <c r="H40" s="49">
        <f t="shared" si="28"/>
        <v>0</v>
      </c>
      <c r="I40" s="49">
        <f t="shared" si="28"/>
        <v>0</v>
      </c>
      <c r="J40" s="49">
        <f t="shared" si="28"/>
        <v>0</v>
      </c>
      <c r="K40" s="49">
        <f t="shared" si="28"/>
        <v>0</v>
      </c>
      <c r="L40" s="49">
        <f t="shared" si="28"/>
        <v>0</v>
      </c>
      <c r="M40" s="49">
        <f t="shared" si="28"/>
        <v>0</v>
      </c>
      <c r="N40" s="49">
        <f t="shared" si="28"/>
        <v>0</v>
      </c>
      <c r="O40" s="49">
        <f t="shared" si="28"/>
        <v>27958.138857001206</v>
      </c>
      <c r="P40" s="49">
        <f t="shared" si="28"/>
        <v>72036.813770708133</v>
      </c>
      <c r="Q40" s="49">
        <f t="shared" si="28"/>
        <v>86498.37660197576</v>
      </c>
      <c r="R40" s="49">
        <f t="shared" si="28"/>
        <v>87795.852251005388</v>
      </c>
      <c r="S40" s="49">
        <f t="shared" si="28"/>
        <v>0</v>
      </c>
      <c r="T40" s="49">
        <f t="shared" si="28"/>
        <v>0</v>
      </c>
      <c r="U40" s="49">
        <f t="shared" si="28"/>
        <v>0</v>
      </c>
      <c r="V40" s="49">
        <f t="shared" si="28"/>
        <v>0</v>
      </c>
      <c r="W40" s="49">
        <f t="shared" si="28"/>
        <v>0</v>
      </c>
      <c r="X40" s="49">
        <f t="shared" si="28"/>
        <v>0</v>
      </c>
      <c r="Y40" s="49">
        <f t="shared" si="28"/>
        <v>0</v>
      </c>
      <c r="Z40" s="49">
        <f t="shared" si="28"/>
        <v>0</v>
      </c>
    </row>
    <row r="41" spans="1:26" x14ac:dyDescent="0.2">
      <c r="A41" s="9" t="s">
        <v>5</v>
      </c>
      <c r="B41" s="4">
        <f>SUM(C41:Z41)</f>
        <v>-52611.104762740753</v>
      </c>
      <c r="C41" s="38">
        <f t="shared" ref="C41:Z41" si="29">C53</f>
        <v>0</v>
      </c>
      <c r="D41" s="38">
        <f t="shared" si="29"/>
        <v>0</v>
      </c>
      <c r="E41" s="38">
        <f t="shared" si="29"/>
        <v>0</v>
      </c>
      <c r="F41" s="38">
        <f t="shared" si="29"/>
        <v>0</v>
      </c>
      <c r="G41" s="38">
        <f t="shared" si="29"/>
        <v>0</v>
      </c>
      <c r="H41" s="38">
        <f t="shared" si="29"/>
        <v>0</v>
      </c>
      <c r="I41" s="38">
        <f t="shared" si="29"/>
        <v>0</v>
      </c>
      <c r="J41" s="38">
        <f t="shared" si="29"/>
        <v>0</v>
      </c>
      <c r="K41" s="38">
        <f t="shared" si="29"/>
        <v>0</v>
      </c>
      <c r="L41" s="38">
        <f t="shared" si="29"/>
        <v>0</v>
      </c>
      <c r="M41" s="38">
        <f t="shared" si="29"/>
        <v>0</v>
      </c>
      <c r="N41" s="38">
        <f t="shared" si="29"/>
        <v>0</v>
      </c>
      <c r="O41" s="38">
        <f>O53</f>
        <v>-1124.5574255029003</v>
      </c>
      <c r="P41" s="38">
        <f t="shared" si="29"/>
        <v>-16627.701566641626</v>
      </c>
      <c r="Q41" s="38">
        <f t="shared" si="29"/>
        <v>-17299.675320395152</v>
      </c>
      <c r="R41" s="38">
        <f t="shared" si="29"/>
        <v>-17559.17045020108</v>
      </c>
      <c r="S41" s="38">
        <f t="shared" si="29"/>
        <v>0</v>
      </c>
      <c r="T41" s="38">
        <f t="shared" si="29"/>
        <v>0</v>
      </c>
      <c r="U41" s="38">
        <f t="shared" si="29"/>
        <v>0</v>
      </c>
      <c r="V41" s="38">
        <f t="shared" si="29"/>
        <v>0</v>
      </c>
      <c r="W41" s="38">
        <f t="shared" si="29"/>
        <v>0</v>
      </c>
      <c r="X41" s="38">
        <f t="shared" si="29"/>
        <v>0</v>
      </c>
      <c r="Y41" s="38">
        <f t="shared" si="29"/>
        <v>0</v>
      </c>
      <c r="Z41" s="38">
        <f t="shared" si="29"/>
        <v>0</v>
      </c>
    </row>
    <row r="42" spans="1:26" s="44" customFormat="1" x14ac:dyDescent="0.2">
      <c r="A42" s="43" t="s">
        <v>29</v>
      </c>
      <c r="B42" s="49"/>
      <c r="C42" s="49">
        <f t="shared" ref="C42:Z42" si="30">C40+C41</f>
        <v>0</v>
      </c>
      <c r="D42" s="49">
        <f t="shared" si="30"/>
        <v>0</v>
      </c>
      <c r="E42" s="49">
        <f t="shared" si="30"/>
        <v>0</v>
      </c>
      <c r="F42" s="49">
        <f t="shared" si="30"/>
        <v>0</v>
      </c>
      <c r="G42" s="49">
        <f t="shared" si="30"/>
        <v>0</v>
      </c>
      <c r="H42" s="49">
        <f t="shared" si="30"/>
        <v>0</v>
      </c>
      <c r="I42" s="49">
        <f t="shared" si="30"/>
        <v>0</v>
      </c>
      <c r="J42" s="49">
        <f t="shared" si="30"/>
        <v>0</v>
      </c>
      <c r="K42" s="49">
        <f t="shared" si="30"/>
        <v>0</v>
      </c>
      <c r="L42" s="49">
        <f t="shared" si="30"/>
        <v>0</v>
      </c>
      <c r="M42" s="49">
        <f t="shared" si="30"/>
        <v>0</v>
      </c>
      <c r="N42" s="49">
        <f t="shared" si="30"/>
        <v>0</v>
      </c>
      <c r="O42" s="49">
        <f t="shared" si="30"/>
        <v>26833.581431498307</v>
      </c>
      <c r="P42" s="49">
        <f t="shared" si="30"/>
        <v>55409.112204066507</v>
      </c>
      <c r="Q42" s="49">
        <f t="shared" si="30"/>
        <v>69198.701281580608</v>
      </c>
      <c r="R42" s="49">
        <f t="shared" si="30"/>
        <v>70236.681800804305</v>
      </c>
      <c r="S42" s="49">
        <f t="shared" si="30"/>
        <v>0</v>
      </c>
      <c r="T42" s="49">
        <f t="shared" si="30"/>
        <v>0</v>
      </c>
      <c r="U42" s="49">
        <f t="shared" si="30"/>
        <v>0</v>
      </c>
      <c r="V42" s="49">
        <f t="shared" si="30"/>
        <v>0</v>
      </c>
      <c r="W42" s="49">
        <f t="shared" si="30"/>
        <v>0</v>
      </c>
      <c r="X42" s="49">
        <f t="shared" si="30"/>
        <v>0</v>
      </c>
      <c r="Y42" s="49">
        <f t="shared" si="30"/>
        <v>0</v>
      </c>
      <c r="Z42" s="49">
        <f t="shared" si="30"/>
        <v>0</v>
      </c>
    </row>
    <row r="43" spans="1:26" x14ac:dyDescent="0.2">
      <c r="A43" s="9" t="s">
        <v>30</v>
      </c>
      <c r="B43" s="4">
        <f>SUM(C43:Z43)</f>
        <v>-221678.07671794973</v>
      </c>
      <c r="C43" s="38">
        <f t="shared" ref="C43:O43" si="31">IF(C42&gt;0,-C42,0)</f>
        <v>0</v>
      </c>
      <c r="D43" s="38">
        <f t="shared" si="31"/>
        <v>0</v>
      </c>
      <c r="E43" s="38">
        <f t="shared" si="31"/>
        <v>0</v>
      </c>
      <c r="F43" s="38">
        <f t="shared" si="31"/>
        <v>0</v>
      </c>
      <c r="G43" s="38">
        <f t="shared" si="31"/>
        <v>0</v>
      </c>
      <c r="H43" s="38">
        <f t="shared" si="31"/>
        <v>0</v>
      </c>
      <c r="I43" s="38">
        <f t="shared" si="31"/>
        <v>0</v>
      </c>
      <c r="J43" s="38">
        <f t="shared" si="31"/>
        <v>0</v>
      </c>
      <c r="K43" s="38">
        <f t="shared" si="31"/>
        <v>0</v>
      </c>
      <c r="L43" s="38">
        <f t="shared" si="31"/>
        <v>0</v>
      </c>
      <c r="M43" s="38">
        <f t="shared" si="31"/>
        <v>0</v>
      </c>
      <c r="N43" s="38">
        <f t="shared" si="31"/>
        <v>0</v>
      </c>
      <c r="O43" s="38">
        <f t="shared" si="31"/>
        <v>-26833.581431498307</v>
      </c>
      <c r="P43" s="38">
        <f>IF(P42&gt;0,-P42,0)</f>
        <v>-55409.112204066507</v>
      </c>
      <c r="Q43" s="38">
        <f t="shared" ref="Q43:R43" si="32">IF(Q42&gt;0,-Q42,0)</f>
        <v>-69198.701281580608</v>
      </c>
      <c r="R43" s="38">
        <f t="shared" si="32"/>
        <v>-70236.681800804305</v>
      </c>
      <c r="S43" s="38">
        <f>IF(S42&gt;0,-S42,0)</f>
        <v>0</v>
      </c>
      <c r="T43" s="38">
        <f t="shared" ref="T43:Z43" si="33">IF(T42&gt;0,-T42,0)</f>
        <v>0</v>
      </c>
      <c r="U43" s="38">
        <f t="shared" si="33"/>
        <v>0</v>
      </c>
      <c r="V43" s="38">
        <f t="shared" si="33"/>
        <v>0</v>
      </c>
      <c r="W43" s="38">
        <f t="shared" si="33"/>
        <v>0</v>
      </c>
      <c r="X43" s="38">
        <f t="shared" si="33"/>
        <v>0</v>
      </c>
      <c r="Y43" s="38">
        <f t="shared" si="33"/>
        <v>0</v>
      </c>
      <c r="Z43" s="38">
        <f t="shared" si="33"/>
        <v>0</v>
      </c>
    </row>
    <row r="44" spans="1:26" s="44" customFormat="1" x14ac:dyDescent="0.2">
      <c r="A44" s="43" t="s">
        <v>31</v>
      </c>
      <c r="B44" s="49"/>
      <c r="C44" s="49">
        <f t="shared" ref="C44:Z44" si="34">C42+C43</f>
        <v>0</v>
      </c>
      <c r="D44" s="49">
        <f t="shared" si="34"/>
        <v>0</v>
      </c>
      <c r="E44" s="49">
        <f t="shared" si="34"/>
        <v>0</v>
      </c>
      <c r="F44" s="49">
        <f t="shared" si="34"/>
        <v>0</v>
      </c>
      <c r="G44" s="49">
        <f t="shared" si="34"/>
        <v>0</v>
      </c>
      <c r="H44" s="49">
        <f t="shared" si="34"/>
        <v>0</v>
      </c>
      <c r="I44" s="49">
        <f t="shared" si="34"/>
        <v>0</v>
      </c>
      <c r="J44" s="49">
        <f t="shared" si="34"/>
        <v>0</v>
      </c>
      <c r="K44" s="49">
        <f t="shared" si="34"/>
        <v>0</v>
      </c>
      <c r="L44" s="49">
        <f t="shared" si="34"/>
        <v>0</v>
      </c>
      <c r="M44" s="49">
        <f t="shared" si="34"/>
        <v>0</v>
      </c>
      <c r="N44" s="49">
        <f t="shared" si="34"/>
        <v>0</v>
      </c>
      <c r="O44" s="49">
        <f t="shared" si="34"/>
        <v>0</v>
      </c>
      <c r="P44" s="49">
        <f t="shared" si="34"/>
        <v>0</v>
      </c>
      <c r="Q44" s="49">
        <f t="shared" si="34"/>
        <v>0</v>
      </c>
      <c r="R44" s="49">
        <f t="shared" si="34"/>
        <v>0</v>
      </c>
      <c r="S44" s="49">
        <f t="shared" si="34"/>
        <v>0</v>
      </c>
      <c r="T44" s="49">
        <f t="shared" si="34"/>
        <v>0</v>
      </c>
      <c r="U44" s="49">
        <f t="shared" si="34"/>
        <v>0</v>
      </c>
      <c r="V44" s="49">
        <f t="shared" si="34"/>
        <v>0</v>
      </c>
      <c r="W44" s="49">
        <f t="shared" si="34"/>
        <v>0</v>
      </c>
      <c r="X44" s="49">
        <f t="shared" si="34"/>
        <v>0</v>
      </c>
      <c r="Y44" s="49">
        <f t="shared" si="34"/>
        <v>0</v>
      </c>
      <c r="Z44" s="49">
        <f t="shared" si="34"/>
        <v>0</v>
      </c>
    </row>
    <row r="45" spans="1:26" s="18" customFormat="1" x14ac:dyDescent="0.2">
      <c r="A45" s="16" t="s">
        <v>32</v>
      </c>
      <c r="B45" s="4">
        <f>SUM(C45:Z45)</f>
        <v>221678.07671794971</v>
      </c>
      <c r="C45" s="38">
        <f t="shared" ref="C45:Z45" si="35">C16+C22+C41+C31+C32</f>
        <v>0</v>
      </c>
      <c r="D45" s="38">
        <f t="shared" si="35"/>
        <v>0</v>
      </c>
      <c r="E45" s="38">
        <f t="shared" si="35"/>
        <v>0</v>
      </c>
      <c r="F45" s="38">
        <f t="shared" si="35"/>
        <v>0</v>
      </c>
      <c r="G45" s="38">
        <f t="shared" si="35"/>
        <v>0</v>
      </c>
      <c r="H45" s="38">
        <f t="shared" si="35"/>
        <v>0</v>
      </c>
      <c r="I45" s="38">
        <f t="shared" si="35"/>
        <v>0</v>
      </c>
      <c r="J45" s="38">
        <f t="shared" si="35"/>
        <v>-91481.111519244601</v>
      </c>
      <c r="K45" s="38">
        <f t="shared" si="35"/>
        <v>-88618.993084521921</v>
      </c>
      <c r="L45" s="38">
        <f t="shared" si="35"/>
        <v>-89883.029126904701</v>
      </c>
      <c r="M45" s="38">
        <f t="shared" si="35"/>
        <v>-91157.258697690631</v>
      </c>
      <c r="N45" s="38">
        <f t="shared" si="35"/>
        <v>-92441.45496920502</v>
      </c>
      <c r="O45" s="38">
        <f t="shared" si="35"/>
        <v>480415.42882906517</v>
      </c>
      <c r="P45" s="38">
        <f t="shared" si="35"/>
        <v>55409.112204066507</v>
      </c>
      <c r="Q45" s="38">
        <f t="shared" si="35"/>
        <v>69198.701281580608</v>
      </c>
      <c r="R45" s="38">
        <f t="shared" si="35"/>
        <v>70236.681800804305</v>
      </c>
      <c r="S45" s="38">
        <f t="shared" si="35"/>
        <v>0</v>
      </c>
      <c r="T45" s="38">
        <f t="shared" si="35"/>
        <v>0</v>
      </c>
      <c r="U45" s="38">
        <f t="shared" si="35"/>
        <v>0</v>
      </c>
      <c r="V45" s="38">
        <f t="shared" si="35"/>
        <v>0</v>
      </c>
      <c r="W45" s="38">
        <f t="shared" si="35"/>
        <v>0</v>
      </c>
      <c r="X45" s="38">
        <f t="shared" si="35"/>
        <v>0</v>
      </c>
      <c r="Y45" s="38">
        <f t="shared" si="35"/>
        <v>0</v>
      </c>
      <c r="Z45" s="38">
        <f t="shared" si="35"/>
        <v>0</v>
      </c>
    </row>
    <row r="46" spans="1:26" x14ac:dyDescent="0.2">
      <c r="A46" s="15" t="s">
        <v>50</v>
      </c>
      <c r="B46" s="19">
        <f>IFERROR(IRR(C45:Z45)*4,0)</f>
        <v>0.46154969968930626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x14ac:dyDescent="0.2">
      <c r="A47" s="21"/>
      <c r="B47" s="56"/>
      <c r="C47" s="56"/>
      <c r="D47" s="56"/>
      <c r="E47" s="56"/>
      <c r="F47" s="56"/>
      <c r="G47" s="57"/>
      <c r="H47" s="57"/>
      <c r="I47" s="57"/>
      <c r="J47" s="58"/>
      <c r="K47" s="58"/>
      <c r="L47" s="58"/>
      <c r="M47" s="58"/>
      <c r="N47" s="58"/>
      <c r="O47" s="58"/>
      <c r="P47" s="58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x14ac:dyDescent="0.2">
      <c r="A48" s="9" t="s">
        <v>51</v>
      </c>
      <c r="B48" s="4">
        <f>SUM(C48:Z48)</f>
        <v>754355.14895037422</v>
      </c>
      <c r="C48" s="38">
        <f t="shared" ref="C48:Z48" si="36">C17+C18</f>
        <v>0</v>
      </c>
      <c r="D48" s="38">
        <f t="shared" si="36"/>
        <v>0</v>
      </c>
      <c r="E48" s="38">
        <f t="shared" si="36"/>
        <v>0</v>
      </c>
      <c r="F48" s="38">
        <f t="shared" si="36"/>
        <v>0</v>
      </c>
      <c r="G48" s="38">
        <f t="shared" si="36"/>
        <v>0</v>
      </c>
      <c r="H48" s="38">
        <f t="shared" si="36"/>
        <v>0</v>
      </c>
      <c r="I48" s="38">
        <f t="shared" si="36"/>
        <v>0</v>
      </c>
      <c r="J48" s="38">
        <f t="shared" si="36"/>
        <v>77220.12273475487</v>
      </c>
      <c r="K48" s="38">
        <f t="shared" si="36"/>
        <v>78957.575496286852</v>
      </c>
      <c r="L48" s="38">
        <f t="shared" si="36"/>
        <v>80734.120944953305</v>
      </c>
      <c r="M48" s="38">
        <f t="shared" si="36"/>
        <v>82550.638666214756</v>
      </c>
      <c r="N48" s="38">
        <f t="shared" si="36"/>
        <v>84408.028036204589</v>
      </c>
      <c r="O48" s="38">
        <f t="shared" si="36"/>
        <v>85674.148456747658</v>
      </c>
      <c r="P48" s="38">
        <f t="shared" si="36"/>
        <v>86959.260683598855</v>
      </c>
      <c r="Q48" s="38">
        <f t="shared" si="36"/>
        <v>88263.649593852824</v>
      </c>
      <c r="R48" s="38">
        <f t="shared" si="36"/>
        <v>89587.604337760597</v>
      </c>
      <c r="S48" s="38">
        <f t="shared" si="36"/>
        <v>0</v>
      </c>
      <c r="T48" s="38">
        <f t="shared" si="36"/>
        <v>0</v>
      </c>
      <c r="U48" s="38">
        <f t="shared" si="36"/>
        <v>0</v>
      </c>
      <c r="V48" s="38">
        <f t="shared" si="36"/>
        <v>0</v>
      </c>
      <c r="W48" s="38">
        <f t="shared" si="36"/>
        <v>0</v>
      </c>
      <c r="X48" s="38">
        <f t="shared" si="36"/>
        <v>0</v>
      </c>
      <c r="Y48" s="38">
        <f t="shared" si="36"/>
        <v>0</v>
      </c>
      <c r="Z48" s="38">
        <f t="shared" si="36"/>
        <v>0</v>
      </c>
    </row>
    <row r="49" spans="1:26" x14ac:dyDescent="0.2">
      <c r="A49" s="9" t="s">
        <v>6</v>
      </c>
      <c r="B49" s="4">
        <f>SUM(C49:Z49)</f>
        <v>-491299.6251366706</v>
      </c>
      <c r="C49" s="38">
        <f t="shared" ref="C49:V49" si="37">C23+C25+C27+C28+C29+C24</f>
        <v>0</v>
      </c>
      <c r="D49" s="38">
        <f t="shared" si="37"/>
        <v>0</v>
      </c>
      <c r="E49" s="38">
        <f t="shared" si="37"/>
        <v>0</v>
      </c>
      <c r="F49" s="38">
        <f t="shared" si="37"/>
        <v>0</v>
      </c>
      <c r="G49" s="38">
        <f t="shared" si="37"/>
        <v>0</v>
      </c>
      <c r="H49" s="38">
        <f t="shared" si="37"/>
        <v>-11167.675864743354</v>
      </c>
      <c r="I49" s="38">
        <f t="shared" si="37"/>
        <v>-11167.675864743354</v>
      </c>
      <c r="J49" s="38">
        <f t="shared" si="37"/>
        <v>-91481.111519244601</v>
      </c>
      <c r="K49" s="38">
        <f t="shared" si="37"/>
        <v>-88618.993084521921</v>
      </c>
      <c r="L49" s="38">
        <f t="shared" si="37"/>
        <v>-89883.029126904701</v>
      </c>
      <c r="M49" s="38">
        <f t="shared" si="37"/>
        <v>-91157.258697690631</v>
      </c>
      <c r="N49" s="38">
        <f t="shared" si="37"/>
        <v>-92441.45496920502</v>
      </c>
      <c r="O49" s="38">
        <f t="shared" si="37"/>
        <v>-8004.6480805939464</v>
      </c>
      <c r="P49" s="38">
        <f t="shared" si="37"/>
        <v>-3820.7528503907274</v>
      </c>
      <c r="Q49" s="38">
        <f t="shared" si="37"/>
        <v>-1765.2729918770565</v>
      </c>
      <c r="R49" s="38">
        <f t="shared" si="37"/>
        <v>-1791.7520867552121</v>
      </c>
      <c r="S49" s="38">
        <f t="shared" si="37"/>
        <v>0</v>
      </c>
      <c r="T49" s="38">
        <f t="shared" si="37"/>
        <v>0</v>
      </c>
      <c r="U49" s="38">
        <f t="shared" si="37"/>
        <v>0</v>
      </c>
      <c r="V49" s="38">
        <f t="shared" si="37"/>
        <v>0</v>
      </c>
      <c r="W49" s="38">
        <f>W23+W25+W27</f>
        <v>0</v>
      </c>
      <c r="X49" s="38">
        <f>X23+X25+X27</f>
        <v>0</v>
      </c>
      <c r="Y49" s="38">
        <f>Y23+Y25+Y27</f>
        <v>0</v>
      </c>
      <c r="Z49" s="38">
        <f>Z23+Z25+Z27</f>
        <v>0</v>
      </c>
    </row>
    <row r="50" spans="1:26" x14ac:dyDescent="0.2">
      <c r="A50" s="9" t="s">
        <v>7</v>
      </c>
      <c r="B50" s="4">
        <f>SUM(C50:Z50)</f>
        <v>263055.5238137038</v>
      </c>
      <c r="C50" s="38">
        <f t="shared" ref="C50:Z50" si="38">C48+C49</f>
        <v>0</v>
      </c>
      <c r="D50" s="38">
        <f t="shared" si="38"/>
        <v>0</v>
      </c>
      <c r="E50" s="38">
        <f t="shared" si="38"/>
        <v>0</v>
      </c>
      <c r="F50" s="38">
        <f t="shared" si="38"/>
        <v>0</v>
      </c>
      <c r="G50" s="38">
        <f t="shared" si="38"/>
        <v>0</v>
      </c>
      <c r="H50" s="38">
        <f t="shared" si="38"/>
        <v>-11167.675864743354</v>
      </c>
      <c r="I50" s="38">
        <f t="shared" si="38"/>
        <v>-11167.675864743354</v>
      </c>
      <c r="J50" s="38">
        <f t="shared" si="38"/>
        <v>-14260.988784489731</v>
      </c>
      <c r="K50" s="38">
        <f t="shared" si="38"/>
        <v>-9661.4175882350683</v>
      </c>
      <c r="L50" s="38">
        <f t="shared" si="38"/>
        <v>-9148.9081819513958</v>
      </c>
      <c r="M50" s="38">
        <f t="shared" si="38"/>
        <v>-8606.6200314758753</v>
      </c>
      <c r="N50" s="38">
        <f t="shared" si="38"/>
        <v>-8033.4269330004317</v>
      </c>
      <c r="O50" s="38">
        <f t="shared" si="38"/>
        <v>77669.500376153708</v>
      </c>
      <c r="P50" s="38">
        <f t="shared" si="38"/>
        <v>83138.507833208132</v>
      </c>
      <c r="Q50" s="38">
        <f t="shared" si="38"/>
        <v>86498.37660197576</v>
      </c>
      <c r="R50" s="38">
        <f t="shared" si="38"/>
        <v>87795.852251005388</v>
      </c>
      <c r="S50" s="38">
        <f t="shared" si="38"/>
        <v>0</v>
      </c>
      <c r="T50" s="38">
        <f t="shared" si="38"/>
        <v>0</v>
      </c>
      <c r="U50" s="38">
        <f t="shared" si="38"/>
        <v>0</v>
      </c>
      <c r="V50" s="38">
        <f t="shared" si="38"/>
        <v>0</v>
      </c>
      <c r="W50" s="38">
        <f t="shared" si="38"/>
        <v>0</v>
      </c>
      <c r="X50" s="38">
        <f t="shared" si="38"/>
        <v>0</v>
      </c>
      <c r="Y50" s="38">
        <f t="shared" si="38"/>
        <v>0</v>
      </c>
      <c r="Z50" s="38">
        <f t="shared" si="38"/>
        <v>0</v>
      </c>
    </row>
    <row r="51" spans="1:26" x14ac:dyDescent="0.2">
      <c r="A51" s="9" t="s">
        <v>8</v>
      </c>
      <c r="B51" s="4"/>
      <c r="C51" s="38">
        <f t="shared" ref="C51:Z51" si="39">B51+C50</f>
        <v>0</v>
      </c>
      <c r="D51" s="38">
        <f t="shared" si="39"/>
        <v>0</v>
      </c>
      <c r="E51" s="38">
        <f t="shared" si="39"/>
        <v>0</v>
      </c>
      <c r="F51" s="38">
        <f t="shared" si="39"/>
        <v>0</v>
      </c>
      <c r="G51" s="38">
        <f t="shared" si="39"/>
        <v>0</v>
      </c>
      <c r="H51" s="38">
        <f t="shared" si="39"/>
        <v>-11167.675864743354</v>
      </c>
      <c r="I51" s="38">
        <f t="shared" si="39"/>
        <v>-22335.351729486709</v>
      </c>
      <c r="J51" s="38">
        <f t="shared" si="39"/>
        <v>-36596.340513976436</v>
      </c>
      <c r="K51" s="38">
        <f t="shared" si="39"/>
        <v>-46257.758102211505</v>
      </c>
      <c r="L51" s="38">
        <f t="shared" si="39"/>
        <v>-55406.6662841629</v>
      </c>
      <c r="M51" s="38">
        <f t="shared" si="39"/>
        <v>-64013.286315638776</v>
      </c>
      <c r="N51" s="38">
        <f t="shared" si="39"/>
        <v>-72046.713248639207</v>
      </c>
      <c r="O51" s="38">
        <f t="shared" si="39"/>
        <v>5622.7871275145008</v>
      </c>
      <c r="P51" s="38">
        <f t="shared" si="39"/>
        <v>88761.294960722633</v>
      </c>
      <c r="Q51" s="38">
        <f t="shared" si="39"/>
        <v>175259.67156269838</v>
      </c>
      <c r="R51" s="38">
        <f t="shared" si="39"/>
        <v>263055.5238137038</v>
      </c>
      <c r="S51" s="38">
        <f t="shared" si="39"/>
        <v>263055.5238137038</v>
      </c>
      <c r="T51" s="38">
        <f t="shared" si="39"/>
        <v>263055.5238137038</v>
      </c>
      <c r="U51" s="38">
        <f t="shared" si="39"/>
        <v>263055.5238137038</v>
      </c>
      <c r="V51" s="38">
        <f t="shared" si="39"/>
        <v>263055.5238137038</v>
      </c>
      <c r="W51" s="38">
        <f t="shared" si="39"/>
        <v>263055.5238137038</v>
      </c>
      <c r="X51" s="38">
        <f t="shared" si="39"/>
        <v>263055.5238137038</v>
      </c>
      <c r="Y51" s="38">
        <f t="shared" si="39"/>
        <v>263055.5238137038</v>
      </c>
      <c r="Z51" s="38">
        <f t="shared" si="39"/>
        <v>263055.5238137038</v>
      </c>
    </row>
    <row r="52" spans="1:26" x14ac:dyDescent="0.2">
      <c r="A52" s="9" t="s">
        <v>9</v>
      </c>
      <c r="B52" s="4">
        <f>SUM(C52:Z52)</f>
        <v>263055.5238137038</v>
      </c>
      <c r="C52" s="38">
        <f t="shared" ref="C52:Z52" si="40">MAX(MIN(C51,C50),0)</f>
        <v>0</v>
      </c>
      <c r="D52" s="38">
        <f t="shared" si="40"/>
        <v>0</v>
      </c>
      <c r="E52" s="38">
        <f t="shared" si="40"/>
        <v>0</v>
      </c>
      <c r="F52" s="38">
        <f t="shared" si="40"/>
        <v>0</v>
      </c>
      <c r="G52" s="38">
        <f t="shared" si="40"/>
        <v>0</v>
      </c>
      <c r="H52" s="38">
        <f t="shared" si="40"/>
        <v>0</v>
      </c>
      <c r="I52" s="38">
        <f t="shared" si="40"/>
        <v>0</v>
      </c>
      <c r="J52" s="38">
        <f t="shared" si="40"/>
        <v>0</v>
      </c>
      <c r="K52" s="38">
        <f t="shared" si="40"/>
        <v>0</v>
      </c>
      <c r="L52" s="38">
        <f t="shared" si="40"/>
        <v>0</v>
      </c>
      <c r="M52" s="38">
        <f t="shared" si="40"/>
        <v>0</v>
      </c>
      <c r="N52" s="38">
        <f t="shared" si="40"/>
        <v>0</v>
      </c>
      <c r="O52" s="38">
        <f t="shared" si="40"/>
        <v>5622.7871275145008</v>
      </c>
      <c r="P52" s="38">
        <f t="shared" si="40"/>
        <v>83138.507833208132</v>
      </c>
      <c r="Q52" s="38">
        <f t="shared" si="40"/>
        <v>86498.37660197576</v>
      </c>
      <c r="R52" s="38">
        <f t="shared" si="40"/>
        <v>87795.852251005388</v>
      </c>
      <c r="S52" s="38">
        <f t="shared" si="40"/>
        <v>0</v>
      </c>
      <c r="T52" s="38">
        <f t="shared" si="40"/>
        <v>0</v>
      </c>
      <c r="U52" s="38">
        <f t="shared" si="40"/>
        <v>0</v>
      </c>
      <c r="V52" s="38">
        <f t="shared" si="40"/>
        <v>0</v>
      </c>
      <c r="W52" s="38">
        <f t="shared" si="40"/>
        <v>0</v>
      </c>
      <c r="X52" s="38">
        <f t="shared" si="40"/>
        <v>0</v>
      </c>
      <c r="Y52" s="38">
        <f t="shared" si="40"/>
        <v>0</v>
      </c>
      <c r="Z52" s="38">
        <f t="shared" si="40"/>
        <v>0</v>
      </c>
    </row>
    <row r="53" spans="1:26" x14ac:dyDescent="0.2">
      <c r="A53" s="9" t="s">
        <v>10</v>
      </c>
      <c r="B53" s="4">
        <f>SUM(C53:Z53)</f>
        <v>-52611.104762740753</v>
      </c>
      <c r="C53" s="38">
        <f t="shared" ref="C53:Q53" si="41">-C52*0.2</f>
        <v>0</v>
      </c>
      <c r="D53" s="38">
        <f t="shared" si="41"/>
        <v>0</v>
      </c>
      <c r="E53" s="38">
        <f t="shared" si="41"/>
        <v>0</v>
      </c>
      <c r="F53" s="38">
        <f t="shared" si="41"/>
        <v>0</v>
      </c>
      <c r="G53" s="38">
        <f t="shared" si="41"/>
        <v>0</v>
      </c>
      <c r="H53" s="38">
        <f t="shared" si="41"/>
        <v>0</v>
      </c>
      <c r="I53" s="38">
        <f t="shared" si="41"/>
        <v>0</v>
      </c>
      <c r="J53" s="38">
        <f t="shared" si="41"/>
        <v>0</v>
      </c>
      <c r="K53" s="38">
        <f t="shared" si="41"/>
        <v>0</v>
      </c>
      <c r="L53" s="38">
        <f t="shared" si="41"/>
        <v>0</v>
      </c>
      <c r="M53" s="38">
        <f t="shared" si="41"/>
        <v>0</v>
      </c>
      <c r="N53" s="38">
        <f t="shared" si="41"/>
        <v>0</v>
      </c>
      <c r="O53" s="38">
        <f>-O52*0.2</f>
        <v>-1124.5574255029003</v>
      </c>
      <c r="P53" s="38">
        <f t="shared" si="41"/>
        <v>-16627.701566641626</v>
      </c>
      <c r="Q53" s="38">
        <f t="shared" si="41"/>
        <v>-17299.675320395152</v>
      </c>
      <c r="R53" s="38">
        <f>-R52*0.2</f>
        <v>-17559.17045020108</v>
      </c>
      <c r="S53" s="38">
        <f t="shared" ref="S53:Z53" si="42">-S52*0.2</f>
        <v>0</v>
      </c>
      <c r="T53" s="38">
        <f t="shared" si="42"/>
        <v>0</v>
      </c>
      <c r="U53" s="38">
        <f t="shared" si="42"/>
        <v>0</v>
      </c>
      <c r="V53" s="38">
        <f t="shared" si="42"/>
        <v>0</v>
      </c>
      <c r="W53" s="38">
        <f t="shared" si="42"/>
        <v>0</v>
      </c>
      <c r="X53" s="38">
        <f t="shared" si="42"/>
        <v>0</v>
      </c>
      <c r="Y53" s="38">
        <f t="shared" si="42"/>
        <v>0</v>
      </c>
      <c r="Z53" s="38">
        <f t="shared" si="42"/>
        <v>0</v>
      </c>
    </row>
    <row r="54" spans="1:26" x14ac:dyDescent="0.2">
      <c r="A54" s="9" t="s">
        <v>11</v>
      </c>
      <c r="B54" s="4">
        <f>SUM(C54:Z54)</f>
        <v>210444.41905096301</v>
      </c>
      <c r="C54" s="38">
        <f t="shared" ref="C54:Z54" si="43">C50+C53</f>
        <v>0</v>
      </c>
      <c r="D54" s="38">
        <f t="shared" si="43"/>
        <v>0</v>
      </c>
      <c r="E54" s="38">
        <f t="shared" si="43"/>
        <v>0</v>
      </c>
      <c r="F54" s="38">
        <f t="shared" si="43"/>
        <v>0</v>
      </c>
      <c r="G54" s="38">
        <f t="shared" si="43"/>
        <v>0</v>
      </c>
      <c r="H54" s="38">
        <f t="shared" si="43"/>
        <v>-11167.675864743354</v>
      </c>
      <c r="I54" s="38">
        <f t="shared" si="43"/>
        <v>-11167.675864743354</v>
      </c>
      <c r="J54" s="38">
        <f t="shared" si="43"/>
        <v>-14260.988784489731</v>
      </c>
      <c r="K54" s="38">
        <f t="shared" si="43"/>
        <v>-9661.4175882350683</v>
      </c>
      <c r="L54" s="38">
        <f t="shared" si="43"/>
        <v>-9148.9081819513958</v>
      </c>
      <c r="M54" s="38">
        <f t="shared" si="43"/>
        <v>-8606.6200314758753</v>
      </c>
      <c r="N54" s="38">
        <f t="shared" si="43"/>
        <v>-8033.4269330004317</v>
      </c>
      <c r="O54" s="38">
        <f t="shared" si="43"/>
        <v>76544.942950650802</v>
      </c>
      <c r="P54" s="38">
        <f t="shared" si="43"/>
        <v>66510.806266566506</v>
      </c>
      <c r="Q54" s="38">
        <f t="shared" si="43"/>
        <v>69198.701281580608</v>
      </c>
      <c r="R54" s="38">
        <f t="shared" si="43"/>
        <v>70236.681800804305</v>
      </c>
      <c r="S54" s="38">
        <f t="shared" si="43"/>
        <v>0</v>
      </c>
      <c r="T54" s="38">
        <f t="shared" si="43"/>
        <v>0</v>
      </c>
      <c r="U54" s="38">
        <f t="shared" si="43"/>
        <v>0</v>
      </c>
      <c r="V54" s="38">
        <f t="shared" si="43"/>
        <v>0</v>
      </c>
      <c r="W54" s="38">
        <f t="shared" si="43"/>
        <v>0</v>
      </c>
      <c r="X54" s="38">
        <f t="shared" si="43"/>
        <v>0</v>
      </c>
      <c r="Y54" s="38">
        <f t="shared" si="43"/>
        <v>0</v>
      </c>
      <c r="Z54" s="38">
        <f t="shared" si="43"/>
        <v>0</v>
      </c>
    </row>
    <row r="55" spans="1:26" x14ac:dyDescent="0.2">
      <c r="A55" s="9" t="s">
        <v>8</v>
      </c>
      <c r="B55" s="4"/>
      <c r="C55" s="38">
        <f t="shared" ref="C55:Z55" si="44">B55+C54</f>
        <v>0</v>
      </c>
      <c r="D55" s="38">
        <f t="shared" si="44"/>
        <v>0</v>
      </c>
      <c r="E55" s="38">
        <f t="shared" si="44"/>
        <v>0</v>
      </c>
      <c r="F55" s="38">
        <f t="shared" si="44"/>
        <v>0</v>
      </c>
      <c r="G55" s="38">
        <f t="shared" si="44"/>
        <v>0</v>
      </c>
      <c r="H55" s="38">
        <f t="shared" si="44"/>
        <v>-11167.675864743354</v>
      </c>
      <c r="I55" s="38">
        <f t="shared" si="44"/>
        <v>-22335.351729486709</v>
      </c>
      <c r="J55" s="38">
        <f t="shared" si="44"/>
        <v>-36596.340513976436</v>
      </c>
      <c r="K55" s="38">
        <f t="shared" si="44"/>
        <v>-46257.758102211505</v>
      </c>
      <c r="L55" s="38">
        <f t="shared" si="44"/>
        <v>-55406.6662841629</v>
      </c>
      <c r="M55" s="38">
        <f t="shared" si="44"/>
        <v>-64013.286315638776</v>
      </c>
      <c r="N55" s="38">
        <f t="shared" si="44"/>
        <v>-72046.713248639207</v>
      </c>
      <c r="O55" s="38">
        <f t="shared" si="44"/>
        <v>4498.2297020115948</v>
      </c>
      <c r="P55" s="38">
        <f t="shared" si="44"/>
        <v>71009.0359685781</v>
      </c>
      <c r="Q55" s="38">
        <f t="shared" si="44"/>
        <v>140207.73725015871</v>
      </c>
      <c r="R55" s="38">
        <f t="shared" si="44"/>
        <v>210444.41905096301</v>
      </c>
      <c r="S55" s="38">
        <f t="shared" si="44"/>
        <v>210444.41905096301</v>
      </c>
      <c r="T55" s="38">
        <f t="shared" si="44"/>
        <v>210444.41905096301</v>
      </c>
      <c r="U55" s="38">
        <f t="shared" si="44"/>
        <v>210444.41905096301</v>
      </c>
      <c r="V55" s="38">
        <f t="shared" si="44"/>
        <v>210444.41905096301</v>
      </c>
      <c r="W55" s="38">
        <f t="shared" si="44"/>
        <v>210444.41905096301</v>
      </c>
      <c r="X55" s="38">
        <f t="shared" si="44"/>
        <v>210444.41905096301</v>
      </c>
      <c r="Y55" s="38">
        <f t="shared" si="44"/>
        <v>210444.41905096301</v>
      </c>
      <c r="Z55" s="38">
        <f t="shared" si="44"/>
        <v>210444.41905096301</v>
      </c>
    </row>
    <row r="56" spans="1:26" x14ac:dyDescent="0.2">
      <c r="A56" s="21"/>
      <c r="B56" s="22">
        <f>IFERROR(B53/B52,0)</f>
        <v>-0.19999999999999998</v>
      </c>
      <c r="C56" s="22"/>
      <c r="D56" s="22"/>
      <c r="E56" s="22"/>
      <c r="F56" s="22"/>
      <c r="G56" s="23"/>
      <c r="H56" s="23"/>
      <c r="I56" s="23"/>
      <c r="J56" s="24"/>
      <c r="K56" s="24"/>
      <c r="L56" s="24"/>
      <c r="M56" s="24"/>
      <c r="N56" s="24"/>
      <c r="O56" s="24"/>
      <c r="P56" s="24"/>
    </row>
    <row r="57" spans="1:26" hidden="1" x14ac:dyDescent="0.2"/>
    <row r="58" spans="1:26" hidden="1" x14ac:dyDescent="0.2"/>
    <row r="59" spans="1:26" x14ac:dyDescent="0.2"/>
    <row r="60" spans="1:26" x14ac:dyDescent="0.2"/>
  </sheetData>
  <mergeCells count="6">
    <mergeCell ref="W10:Z10"/>
    <mergeCell ref="C10:F10"/>
    <mergeCell ref="G10:J10"/>
    <mergeCell ref="K10:N10"/>
    <mergeCell ref="O10:R10"/>
    <mergeCell ref="S10:V10"/>
  </mergeCells>
  <conditionalFormatting sqref="W23:Z23">
    <cfRule type="cellIs" dxfId="165" priority="39" operator="equal">
      <formula>0</formula>
    </cfRule>
  </conditionalFormatting>
  <conditionalFormatting sqref="W25:Z25">
    <cfRule type="cellIs" dxfId="164" priority="38" operator="equal">
      <formula>0</formula>
    </cfRule>
  </conditionalFormatting>
  <conditionalFormatting sqref="W26:Z26">
    <cfRule type="cellIs" dxfId="163" priority="37" operator="equal">
      <formula>0</formula>
    </cfRule>
  </conditionalFormatting>
  <conditionalFormatting sqref="W27:Z29">
    <cfRule type="cellIs" dxfId="162" priority="36" operator="equal">
      <formula>0</formula>
    </cfRule>
  </conditionalFormatting>
  <conditionalFormatting sqref="B31:Z31">
    <cfRule type="cellIs" dxfId="161" priority="51" operator="equal">
      <formula>0</formula>
    </cfRule>
  </conditionalFormatting>
  <conditionalFormatting sqref="B32:Z32">
    <cfRule type="cellIs" dxfId="160" priority="50" operator="equal">
      <formula>0</formula>
    </cfRule>
  </conditionalFormatting>
  <conditionalFormatting sqref="B35:Z35">
    <cfRule type="cellIs" dxfId="159" priority="49" operator="equal">
      <formula>0</formula>
    </cfRule>
  </conditionalFormatting>
  <conditionalFormatting sqref="B36:Z36">
    <cfRule type="cellIs" dxfId="158" priority="48" operator="equal">
      <formula>0</formula>
    </cfRule>
  </conditionalFormatting>
  <conditionalFormatting sqref="B37:Z37">
    <cfRule type="cellIs" dxfId="157" priority="47" operator="equal">
      <formula>0</formula>
    </cfRule>
  </conditionalFormatting>
  <conditionalFormatting sqref="B38:Z38 W39:Z39">
    <cfRule type="cellIs" dxfId="156" priority="46" operator="equal">
      <formula>0</formula>
    </cfRule>
  </conditionalFormatting>
  <conditionalFormatting sqref="B41:Z41">
    <cfRule type="cellIs" dxfId="155" priority="45" operator="equal">
      <formula>0</formula>
    </cfRule>
  </conditionalFormatting>
  <conditionalFormatting sqref="B43:Z43">
    <cfRule type="cellIs" dxfId="154" priority="44" operator="equal">
      <formula>0</formula>
    </cfRule>
  </conditionalFormatting>
  <conditionalFormatting sqref="B45:Z45">
    <cfRule type="cellIs" dxfId="153" priority="43" operator="equal">
      <formula>0</formula>
    </cfRule>
  </conditionalFormatting>
  <conditionalFormatting sqref="C46:Z46">
    <cfRule type="cellIs" dxfId="152" priority="42" operator="equal">
      <formula>0</formula>
    </cfRule>
  </conditionalFormatting>
  <conditionalFormatting sqref="C48:Z48 C50:Z55 W49:Z49">
    <cfRule type="cellIs" dxfId="151" priority="41" operator="equal">
      <formula>0</formula>
    </cfRule>
  </conditionalFormatting>
  <conditionalFormatting sqref="B33:Z33">
    <cfRule type="cellIs" dxfId="150" priority="40" operator="equal">
      <formula>0</formula>
    </cfRule>
  </conditionalFormatting>
  <conditionalFormatting sqref="B17:Z17 B19:Z21 B18:F18">
    <cfRule type="cellIs" dxfId="149" priority="52" operator="equal">
      <formula>0</formula>
    </cfRule>
  </conditionalFormatting>
  <conditionalFormatting sqref="C18:Z18">
    <cfRule type="cellIs" dxfId="148" priority="35" operator="equal">
      <formula>0</formula>
    </cfRule>
  </conditionalFormatting>
  <conditionalFormatting sqref="B39:V39">
    <cfRule type="cellIs" dxfId="147" priority="34" operator="equal">
      <formula>0</formula>
    </cfRule>
  </conditionalFormatting>
  <conditionalFormatting sqref="B23:F23">
    <cfRule type="cellIs" dxfId="146" priority="33" operator="equal">
      <formula>0</formula>
    </cfRule>
  </conditionalFormatting>
  <conditionalFormatting sqref="B25:F25">
    <cfRule type="cellIs" dxfId="145" priority="32" operator="equal">
      <formula>0</formula>
    </cfRule>
  </conditionalFormatting>
  <conditionalFormatting sqref="B26:F26">
    <cfRule type="cellIs" dxfId="144" priority="31" operator="equal">
      <formula>0</formula>
    </cfRule>
  </conditionalFormatting>
  <conditionalFormatting sqref="B27:F27 B28:C28 B29">
    <cfRule type="cellIs" dxfId="143" priority="30" operator="equal">
      <formula>0</formula>
    </cfRule>
  </conditionalFormatting>
  <conditionalFormatting sqref="G23:V23">
    <cfRule type="cellIs" dxfId="142" priority="29" operator="equal">
      <formula>0</formula>
    </cfRule>
  </conditionalFormatting>
  <conditionalFormatting sqref="C25:V25">
    <cfRule type="cellIs" dxfId="141" priority="28" operator="equal">
      <formula>0</formula>
    </cfRule>
  </conditionalFormatting>
  <conditionalFormatting sqref="G26:V26">
    <cfRule type="cellIs" dxfId="140" priority="27" operator="equal">
      <formula>0</formula>
    </cfRule>
  </conditionalFormatting>
  <conditionalFormatting sqref="G27:V27 D28:V29">
    <cfRule type="cellIs" dxfId="139" priority="26" operator="equal">
      <formula>0</formula>
    </cfRule>
  </conditionalFormatting>
  <conditionalFormatting sqref="C29">
    <cfRule type="cellIs" dxfId="138" priority="22" operator="equal">
      <formula>0</formula>
    </cfRule>
  </conditionalFormatting>
  <conditionalFormatting sqref="F29">
    <cfRule type="cellIs" dxfId="137" priority="25" operator="equal">
      <formula>0</formula>
    </cfRule>
  </conditionalFormatting>
  <conditionalFormatting sqref="E29">
    <cfRule type="cellIs" dxfId="136" priority="24" operator="equal">
      <formula>0</formula>
    </cfRule>
  </conditionalFormatting>
  <conditionalFormatting sqref="D29">
    <cfRule type="cellIs" dxfId="135" priority="23" operator="equal">
      <formula>0</formula>
    </cfRule>
  </conditionalFormatting>
  <conditionalFormatting sqref="D28">
    <cfRule type="cellIs" dxfId="134" priority="19" operator="equal">
      <formula>0</formula>
    </cfRule>
  </conditionalFormatting>
  <conditionalFormatting sqref="F28">
    <cfRule type="cellIs" dxfId="133" priority="21" operator="equal">
      <formula>0</formula>
    </cfRule>
  </conditionalFormatting>
  <conditionalFormatting sqref="E28">
    <cfRule type="cellIs" dxfId="132" priority="20" operator="equal">
      <formula>0</formula>
    </cfRule>
  </conditionalFormatting>
  <conditionalFormatting sqref="C49:V49">
    <cfRule type="cellIs" dxfId="131" priority="18" operator="equal">
      <formula>0</formula>
    </cfRule>
  </conditionalFormatting>
  <conditionalFormatting sqref="B24">
    <cfRule type="cellIs" dxfId="130" priority="17" operator="equal">
      <formula>0</formula>
    </cfRule>
  </conditionalFormatting>
  <conditionalFormatting sqref="S24:Z24">
    <cfRule type="cellIs" dxfId="129" priority="16" operator="equal">
      <formula>0</formula>
    </cfRule>
  </conditionalFormatting>
  <conditionalFormatting sqref="S24:V24">
    <cfRule type="cellIs" dxfId="128" priority="15" operator="equal">
      <formula>0</formula>
    </cfRule>
  </conditionalFormatting>
  <conditionalFormatting sqref="C24:Z24">
    <cfRule type="cellIs" dxfId="127" priority="14" operator="equal">
      <formula>0</formula>
    </cfRule>
  </conditionalFormatting>
  <conditionalFormatting sqref="C24:Z24">
    <cfRule type="cellIs" dxfId="126" priority="13" operator="equal">
      <formula>0</formula>
    </cfRule>
  </conditionalFormatting>
  <conditionalFormatting sqref="C24:Z24">
    <cfRule type="cellIs" dxfId="125" priority="12" operator="equal">
      <formula>0</formula>
    </cfRule>
  </conditionalFormatting>
  <conditionalFormatting sqref="G24">
    <cfRule type="cellIs" dxfId="124" priority="11" operator="equal">
      <formula>0</formula>
    </cfRule>
  </conditionalFormatting>
  <conditionalFormatting sqref="H24">
    <cfRule type="cellIs" dxfId="123" priority="10" operator="equal">
      <formula>0</formula>
    </cfRule>
  </conditionalFormatting>
  <conditionalFormatting sqref="I24">
    <cfRule type="cellIs" dxfId="122" priority="9" operator="equal">
      <formula>0</formula>
    </cfRule>
  </conditionalFormatting>
  <conditionalFormatting sqref="J24">
    <cfRule type="cellIs" dxfId="121" priority="8" operator="equal">
      <formula>0</formula>
    </cfRule>
  </conditionalFormatting>
  <conditionalFormatting sqref="G24">
    <cfRule type="cellIs" dxfId="120" priority="7" operator="equal">
      <formula>0</formula>
    </cfRule>
  </conditionalFormatting>
  <conditionalFormatting sqref="F24">
    <cfRule type="cellIs" dxfId="119" priority="6" operator="equal">
      <formula>0</formula>
    </cfRule>
  </conditionalFormatting>
  <conditionalFormatting sqref="C24:Z24">
    <cfRule type="cellIs" dxfId="118" priority="5" operator="equal">
      <formula>0</formula>
    </cfRule>
  </conditionalFormatting>
  <conditionalFormatting sqref="B46">
    <cfRule type="cellIs" dxfId="117" priority="4" operator="equal">
      <formula>0</formula>
    </cfRule>
  </conditionalFormatting>
  <conditionalFormatting sqref="B48 B50:B55">
    <cfRule type="cellIs" dxfId="116" priority="3" operator="equal">
      <formula>0</formula>
    </cfRule>
  </conditionalFormatting>
  <conditionalFormatting sqref="B49">
    <cfRule type="cellIs" dxfId="115" priority="2" operator="equal">
      <formula>0</formula>
    </cfRule>
  </conditionalFormatting>
  <conditionalFormatting sqref="C15:V15">
    <cfRule type="cellIs" dxfId="114" priority="1" operator="equal">
      <formula>0</formula>
    </cfRule>
  </conditionalFormatting>
  <pageMargins left="0.56000000000000005" right="0.48" top="0.47244094488188981" bottom="0.39370078740157483" header="0.31496062992125984" footer="0.31496062992125984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60"/>
  <sheetViews>
    <sheetView zoomScale="70" zoomScaleNormal="70" zoomScaleSheetLayoutView="70" workbookViewId="0">
      <selection activeCell="C1" sqref="C1:D1048576"/>
    </sheetView>
  </sheetViews>
  <sheetFormatPr defaultColWidth="0" defaultRowHeight="12.75" customHeight="1" zeroHeight="1" outlineLevelCol="1" x14ac:dyDescent="0.2"/>
  <cols>
    <col min="1" max="1" width="36.42578125" bestFit="1" customWidth="1"/>
    <col min="2" max="2" width="14.140625" style="7" customWidth="1"/>
    <col min="3" max="4" width="9.28515625" style="7" hidden="1" customWidth="1" outlineLevel="1"/>
    <col min="5" max="5" width="9.28515625" style="7" bestFit="1" customWidth="1" collapsed="1"/>
    <col min="6" max="6" width="9.28515625" style="7" bestFit="1" customWidth="1"/>
    <col min="7" max="9" width="9.28515625" style="12" bestFit="1" customWidth="1"/>
    <col min="10" max="22" width="9.28515625" bestFit="1" customWidth="1"/>
    <col min="23" max="26" width="9.28515625" hidden="1" customWidth="1"/>
    <col min="27" max="16384" width="9.140625" hidden="1"/>
  </cols>
  <sheetData>
    <row r="1" spans="1:26" ht="20.25" x14ac:dyDescent="0.3">
      <c r="A1" s="33" t="s">
        <v>88</v>
      </c>
      <c r="Q1" s="156">
        <f>B24/B23</f>
        <v>3.9920559156269429E-2</v>
      </c>
      <c r="R1" s="155">
        <v>6.9353392594459183E-3</v>
      </c>
    </row>
    <row r="2" spans="1:26" x14ac:dyDescent="0.2">
      <c r="A2" s="50" t="s">
        <v>112</v>
      </c>
      <c r="B2" s="53"/>
      <c r="C2" s="53"/>
      <c r="D2" s="53"/>
      <c r="E2" s="53"/>
      <c r="F2" s="53"/>
      <c r="G2" s="68"/>
      <c r="H2" s="23"/>
      <c r="I2" s="23"/>
      <c r="J2" s="24"/>
    </row>
    <row r="3" spans="1:26" x14ac:dyDescent="0.2">
      <c r="A3" s="50"/>
      <c r="B3" s="53"/>
      <c r="C3" s="53"/>
      <c r="D3" s="53"/>
      <c r="E3" s="53"/>
      <c r="F3" s="53"/>
      <c r="G3" s="69"/>
      <c r="H3" s="31"/>
      <c r="J3" s="12"/>
    </row>
    <row r="4" spans="1:26" x14ac:dyDescent="0.2">
      <c r="A4" s="60" t="s">
        <v>56</v>
      </c>
      <c r="B4" s="55">
        <f>'Э2 (СЗ) (2)'!B4*(1+'ИДиР (2)'!B27/2)</f>
        <v>40.3142</v>
      </c>
      <c r="C4" s="53"/>
      <c r="D4" s="53"/>
      <c r="E4" s="53"/>
      <c r="F4" s="50"/>
      <c r="G4" s="96"/>
      <c r="H4"/>
      <c r="I4"/>
    </row>
    <row r="5" spans="1:26" x14ac:dyDescent="0.2">
      <c r="A5" s="60" t="s">
        <v>48</v>
      </c>
      <c r="B5" s="37">
        <f>'ИДиР (2)'!E7</f>
        <v>11345.625</v>
      </c>
      <c r="C5" s="53"/>
      <c r="D5" s="53"/>
      <c r="E5" s="53"/>
      <c r="F5" s="50"/>
      <c r="G5" s="50"/>
      <c r="H5"/>
      <c r="I5"/>
    </row>
    <row r="6" spans="1:26" x14ac:dyDescent="0.2">
      <c r="A6" s="60" t="s">
        <v>151</v>
      </c>
      <c r="B6" s="37">
        <f>B4*B5</f>
        <v>457389.79537499999</v>
      </c>
      <c r="C6" s="53"/>
      <c r="D6" s="53"/>
      <c r="E6" s="53"/>
      <c r="F6" s="50"/>
      <c r="G6" s="50"/>
      <c r="H6"/>
      <c r="I6"/>
      <c r="N6" s="52"/>
    </row>
    <row r="7" spans="1:26" x14ac:dyDescent="0.2">
      <c r="A7" s="70" t="s">
        <v>149</v>
      </c>
      <c r="B7" s="71">
        <f>B6*'ИДиР (2)'!E11</f>
        <v>22869.489768750002</v>
      </c>
      <c r="C7" s="53"/>
      <c r="D7" s="53"/>
      <c r="E7" s="53"/>
      <c r="F7" s="72"/>
      <c r="G7" s="72"/>
      <c r="H7" s="52"/>
      <c r="I7" s="52"/>
      <c r="J7" s="52"/>
      <c r="K7" s="52"/>
      <c r="M7" s="52"/>
    </row>
    <row r="8" spans="1:26" x14ac:dyDescent="0.2">
      <c r="A8" s="60" t="s">
        <v>49</v>
      </c>
      <c r="B8" s="73">
        <f>'ИДиР (2)'!E13</f>
        <v>0.5</v>
      </c>
      <c r="C8" s="53"/>
      <c r="D8" s="53"/>
      <c r="E8" s="53"/>
      <c r="F8" s="50"/>
      <c r="G8" s="50"/>
      <c r="H8"/>
      <c r="M8" s="52"/>
    </row>
    <row r="9" spans="1:26" x14ac:dyDescent="0.2"/>
    <row r="10" spans="1:26" s="63" customFormat="1" ht="15" x14ac:dyDescent="0.25">
      <c r="A10" s="61" t="s">
        <v>59</v>
      </c>
      <c r="B10" s="62"/>
      <c r="C10" s="194">
        <v>2020</v>
      </c>
      <c r="D10" s="194"/>
      <c r="E10" s="194"/>
      <c r="F10" s="194"/>
      <c r="G10" s="194">
        <f>C10+1</f>
        <v>2021</v>
      </c>
      <c r="H10" s="194"/>
      <c r="I10" s="194"/>
      <c r="J10" s="194"/>
      <c r="K10" s="194">
        <f>G10+1</f>
        <v>2022</v>
      </c>
      <c r="L10" s="194"/>
      <c r="M10" s="194"/>
      <c r="N10" s="194"/>
      <c r="O10" s="194">
        <f>K10+1</f>
        <v>2023</v>
      </c>
      <c r="P10" s="194"/>
      <c r="Q10" s="194"/>
      <c r="R10" s="194"/>
      <c r="S10" s="194">
        <f>O10+1</f>
        <v>2024</v>
      </c>
      <c r="T10" s="194"/>
      <c r="U10" s="194"/>
      <c r="V10" s="194"/>
      <c r="W10" s="194">
        <f>S10+1</f>
        <v>2025</v>
      </c>
      <c r="X10" s="194"/>
      <c r="Y10" s="194"/>
      <c r="Z10" s="194"/>
    </row>
    <row r="11" spans="1:26" s="63" customFormat="1" ht="15" x14ac:dyDescent="0.25">
      <c r="A11" s="64" t="str">
        <f>A1</f>
        <v>Финансовая модель реализации проектов строительства жилья специализированным застройщиком</v>
      </c>
      <c r="B11" s="62"/>
      <c r="C11" s="62" t="s">
        <v>15</v>
      </c>
      <c r="D11" s="62" t="s">
        <v>16</v>
      </c>
      <c r="E11" s="62" t="s">
        <v>17</v>
      </c>
      <c r="F11" s="62" t="s">
        <v>18</v>
      </c>
      <c r="G11" s="62" t="s">
        <v>15</v>
      </c>
      <c r="H11" s="62" t="s">
        <v>16</v>
      </c>
      <c r="I11" s="62" t="s">
        <v>17</v>
      </c>
      <c r="J11" s="62" t="s">
        <v>18</v>
      </c>
      <c r="K11" s="62" t="s">
        <v>15</v>
      </c>
      <c r="L11" s="62" t="s">
        <v>16</v>
      </c>
      <c r="M11" s="62" t="s">
        <v>17</v>
      </c>
      <c r="N11" s="62" t="s">
        <v>18</v>
      </c>
      <c r="O11" s="62" t="s">
        <v>15</v>
      </c>
      <c r="P11" s="62" t="s">
        <v>16</v>
      </c>
      <c r="Q11" s="62" t="s">
        <v>17</v>
      </c>
      <c r="R11" s="62" t="s">
        <v>18</v>
      </c>
      <c r="S11" s="62" t="s">
        <v>15</v>
      </c>
      <c r="T11" s="62" t="s">
        <v>16</v>
      </c>
      <c r="U11" s="62" t="s">
        <v>17</v>
      </c>
      <c r="V11" s="62" t="s">
        <v>18</v>
      </c>
      <c r="W11" s="62" t="s">
        <v>15</v>
      </c>
      <c r="X11" s="62" t="s">
        <v>16</v>
      </c>
      <c r="Y11" s="62" t="s">
        <v>17</v>
      </c>
      <c r="Z11" s="62" t="s">
        <v>18</v>
      </c>
    </row>
    <row r="12" spans="1:26" x14ac:dyDescent="0.2">
      <c r="A12" s="36" t="s">
        <v>52</v>
      </c>
      <c r="B12" s="34"/>
      <c r="C12" s="35"/>
      <c r="D12" s="35"/>
      <c r="E12" s="35"/>
      <c r="F12" s="35"/>
      <c r="G12" s="35"/>
      <c r="H12" s="35"/>
      <c r="I12" s="35"/>
      <c r="J12" s="35" t="s">
        <v>19</v>
      </c>
      <c r="K12" s="35" t="s">
        <v>19</v>
      </c>
      <c r="L12" s="35" t="s">
        <v>19</v>
      </c>
      <c r="M12" s="35" t="s">
        <v>19</v>
      </c>
      <c r="N12" s="35" t="s">
        <v>19</v>
      </c>
      <c r="O12" s="35" t="s">
        <v>19</v>
      </c>
      <c r="P12" s="35" t="s">
        <v>19</v>
      </c>
      <c r="Q12" s="35" t="s">
        <v>53</v>
      </c>
      <c r="R12" s="35" t="s">
        <v>53</v>
      </c>
      <c r="S12" s="35" t="s">
        <v>53</v>
      </c>
      <c r="T12" s="35" t="s">
        <v>53</v>
      </c>
      <c r="U12" s="35"/>
      <c r="V12" s="35"/>
      <c r="W12" s="35"/>
      <c r="X12" s="35"/>
      <c r="Y12" s="90"/>
      <c r="Z12" s="90"/>
    </row>
    <row r="13" spans="1:26" x14ac:dyDescent="0.2">
      <c r="A13" s="36" t="s">
        <v>83</v>
      </c>
      <c r="B13" s="34"/>
      <c r="C13" s="35"/>
      <c r="D13" s="35"/>
      <c r="E13" s="35"/>
      <c r="F13" s="35"/>
      <c r="G13" s="35"/>
      <c r="H13" s="35"/>
      <c r="I13" s="35"/>
      <c r="J13" s="35" t="s">
        <v>54</v>
      </c>
      <c r="K13" s="35" t="s">
        <v>54</v>
      </c>
      <c r="L13" s="35" t="s">
        <v>55</v>
      </c>
      <c r="M13" s="35" t="s">
        <v>55</v>
      </c>
      <c r="N13" s="35" t="s">
        <v>55</v>
      </c>
      <c r="O13" s="35" t="s">
        <v>55</v>
      </c>
      <c r="P13" s="35" t="s">
        <v>55</v>
      </c>
      <c r="Q13" s="35" t="s">
        <v>55</v>
      </c>
      <c r="R13" s="35" t="s">
        <v>55</v>
      </c>
      <c r="S13" s="35" t="s">
        <v>55</v>
      </c>
      <c r="T13" s="35" t="s">
        <v>55</v>
      </c>
      <c r="U13" s="35"/>
      <c r="V13" s="35"/>
      <c r="W13" s="35"/>
      <c r="X13" s="35"/>
      <c r="Y13" s="90"/>
      <c r="Z13" s="90"/>
    </row>
    <row r="14" spans="1:26" x14ac:dyDescent="0.2">
      <c r="A14" s="36" t="s">
        <v>45</v>
      </c>
      <c r="B14" s="51">
        <f>B17/B5</f>
        <v>66.48863759822612</v>
      </c>
      <c r="C14" s="35">
        <f>'Э2 (СЗ) (2)'!C14*(1+'ИДиР (2)'!B27/2*0)</f>
        <v>57.3</v>
      </c>
      <c r="D14" s="35">
        <f>IF(D12="С",C14*(1+ИДиР!$B$26/4),IF(D12="Э",MAX(C14*(1+ИДиР!$B$27/4),51),MAX(51,C14)))</f>
        <v>57.3</v>
      </c>
      <c r="E14" s="35">
        <f>IF(E12="С",D14*(1+ИДиР!$B$26/4),IF(E12="Э",MAX(D14*(1+ИДиР!$B$27/4),51),MAX(51,D14)))</f>
        <v>57.3</v>
      </c>
      <c r="F14" s="35">
        <f>IF(F12="С",E14*(1+ИДиР!$B$26/4),IF(F12="Э",MAX(E14*(1+ИДиР!$B$27/4),51),MAX(51,E14)))</f>
        <v>57.3</v>
      </c>
      <c r="G14" s="35">
        <f>IF(G12="С",F14*(1+ИДиР!$B$26/4),IF(G12="Э",MAX(F14*(1+ИДиР!$B$27/4),51),MAX(51,F14)))</f>
        <v>57.3</v>
      </c>
      <c r="H14" s="35">
        <f>IF(H12="С",G14*(1+ИДиР!$B$26/4),IF(H12="Э",MAX(G14*(1+ИДиР!$B$27/4),51),MAX(51,G14)))</f>
        <v>57.3</v>
      </c>
      <c r="I14" s="35">
        <f>IF(I12="С",H14*(1+ИДиР!$B$26/4),IF(I12="Э",MAX(H14*(1+ИДиР!$B$27/4),51),MAX(51,H14)))</f>
        <v>57.3</v>
      </c>
      <c r="J14" s="35">
        <f>IF(J12="С",I14*(1+ИДиР!$B$26/4),IF(J12="Э",MAX(I14*(1+ИДиР!$B$27/4),51),MAX(51,I14)))</f>
        <v>58.589249999999993</v>
      </c>
      <c r="K14" s="35">
        <f>IF(K12="С",J14*(1+ИДиР!$B$26/4),IF(K12="Э",MAX(J14*(1+ИДиР!$B$27/4),51),MAX(51,J14)))</f>
        <v>59.907508124999993</v>
      </c>
      <c r="L14" s="35">
        <f>IF(L12="С",K14*(1+ИДиР!$B$26/4),IF(L12="Э",MAX(K14*(1+ИДиР!$B$27/4),51),MAX(51,K14)))</f>
        <v>61.25542705781249</v>
      </c>
      <c r="M14" s="35">
        <f>IF(M12="С",L14*(1+ИДиР!$B$26/4),IF(M12="Э",MAX(L14*(1+ИДиР!$B$27/4),51),MAX(51,L14)))</f>
        <v>62.633674166613268</v>
      </c>
      <c r="N14" s="35">
        <f>IF(N12="С",M14*(1+ИДиР!$B$26/4),IF(N12="Э",MAX(M14*(1+ИДиР!$B$27/4),51),MAX(51,M14)))</f>
        <v>64.042931835362069</v>
      </c>
      <c r="O14" s="35">
        <f>IF(O12="С",N14*(1+ИДиР!$B$26/4),IF(O12="Э",MAX(N14*(1+ИДиР!$B$27/4),51),MAX(51,N14)))</f>
        <v>65.483897801657719</v>
      </c>
      <c r="P14" s="35">
        <f>IF(P12="С",O14*(1+ИДиР!$B$26/4),IF(P12="Э",MAX(O14*(1+ИДиР!$B$27/4),51),MAX(51,O14)))</f>
        <v>66.95728550219502</v>
      </c>
      <c r="Q14" s="35">
        <f>IF(Q12="С",P14*(1+ИДиР!$B$26/4),IF(Q12="Э",MAX(P14*(1+ИДиР!$B$27/4),51),MAX(51,P14)))</f>
        <v>67.961644784727937</v>
      </c>
      <c r="R14" s="35">
        <f>IF(R12="С",Q14*(1+ИДиР!$B$26/4),IF(R12="Э",MAX(Q14*(1+ИДиР!$B$27/4),51),MAX(51,Q14)))</f>
        <v>68.981069456498844</v>
      </c>
      <c r="S14" s="35">
        <f>IF(S12="С",R14*(1+ИДиР!$B$26/4),IF(S12="Э",MAX(R14*(1+ИДиР!$B$27/4),51),MAX(51,R14)))</f>
        <v>70.015785498346318</v>
      </c>
      <c r="T14" s="35">
        <f>IF(T12="С",S14*(1+ИДиР!$B$26/4),IF(T12="Э",MAX(S14*(1+ИДиР!$B$27/4),51),MAX(51,S14)))</f>
        <v>71.0660222808215</v>
      </c>
      <c r="U14" s="35">
        <f>IF(U12="С",T14*(1+ИДиР!$B$26/4),IF(U12="Э",MAX(T14*(1+ИДиР!$B$27/4),51),MAX(51,T14)))</f>
        <v>71.0660222808215</v>
      </c>
      <c r="V14" s="35">
        <f>IF(V12="С",U14*(1+ИДиР!$B$26/4),IF(V12="Э",MAX(U14*(1+ИДиР!$B$27/4),51),MAX(51,U14)))</f>
        <v>71.0660222808215</v>
      </c>
      <c r="W14" s="35">
        <f>'Свод (2)'!W9</f>
        <v>72.66500778213998</v>
      </c>
      <c r="X14" s="35">
        <f>'Свод (2)'!X9</f>
        <v>74.299970457238132</v>
      </c>
      <c r="Y14" s="35">
        <f>'Свод (2)'!Y9</f>
        <v>75.971719792525988</v>
      </c>
      <c r="Z14" s="35">
        <f>'Свод (2)'!Z9</f>
        <v>77.681083487857819</v>
      </c>
    </row>
    <row r="15" spans="1:26" x14ac:dyDescent="0.2">
      <c r="A15" s="36" t="s">
        <v>158</v>
      </c>
      <c r="B15" s="174">
        <f t="shared" ref="B15:B20" si="0">SUM(C15:Z15)</f>
        <v>11345.625</v>
      </c>
      <c r="C15" s="173">
        <f>IF(C13="Р",$B$5/COUNTIF(13:13,"Р"),0)</f>
        <v>0</v>
      </c>
      <c r="D15" s="173">
        <f t="shared" ref="D15:V15" si="1">IF(D13="Р",$B$5/COUNTIF(13:13,"Р"),0)</f>
        <v>0</v>
      </c>
      <c r="E15" s="173">
        <f t="shared" si="1"/>
        <v>0</v>
      </c>
      <c r="F15" s="173">
        <f t="shared" si="1"/>
        <v>0</v>
      </c>
      <c r="G15" s="173">
        <f t="shared" si="1"/>
        <v>0</v>
      </c>
      <c r="H15" s="173">
        <f t="shared" si="1"/>
        <v>0</v>
      </c>
      <c r="I15" s="173">
        <f t="shared" si="1"/>
        <v>0</v>
      </c>
      <c r="J15" s="173">
        <f t="shared" si="1"/>
        <v>0</v>
      </c>
      <c r="K15" s="173">
        <f t="shared" si="1"/>
        <v>0</v>
      </c>
      <c r="L15" s="173">
        <f t="shared" si="1"/>
        <v>1260.625</v>
      </c>
      <c r="M15" s="173">
        <f t="shared" si="1"/>
        <v>1260.625</v>
      </c>
      <c r="N15" s="173">
        <f t="shared" si="1"/>
        <v>1260.625</v>
      </c>
      <c r="O15" s="173">
        <f t="shared" si="1"/>
        <v>1260.625</v>
      </c>
      <c r="P15" s="173">
        <f t="shared" si="1"/>
        <v>1260.625</v>
      </c>
      <c r="Q15" s="173">
        <f t="shared" si="1"/>
        <v>1260.625</v>
      </c>
      <c r="R15" s="173">
        <f t="shared" si="1"/>
        <v>1260.625</v>
      </c>
      <c r="S15" s="173">
        <f t="shared" si="1"/>
        <v>1260.625</v>
      </c>
      <c r="T15" s="173">
        <f t="shared" si="1"/>
        <v>1260.625</v>
      </c>
      <c r="U15" s="173">
        <f t="shared" si="1"/>
        <v>0</v>
      </c>
      <c r="V15" s="173">
        <f t="shared" si="1"/>
        <v>0</v>
      </c>
      <c r="W15" s="35"/>
      <c r="X15" s="35"/>
      <c r="Y15" s="35"/>
      <c r="Z15" s="35"/>
    </row>
    <row r="16" spans="1:26" s="44" customFormat="1" x14ac:dyDescent="0.2">
      <c r="A16" s="43" t="s">
        <v>12</v>
      </c>
      <c r="B16" s="49">
        <f t="shared" si="0"/>
        <v>777383.24638936098</v>
      </c>
      <c r="C16" s="49">
        <f t="shared" ref="C16:Z16" si="2">SUM(C17:C20)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49">
        <f t="shared" si="2"/>
        <v>11514.048719493356</v>
      </c>
      <c r="K16" s="49">
        <f t="shared" si="2"/>
        <v>11514.048719493356</v>
      </c>
      <c r="L16" s="49">
        <f t="shared" si="2"/>
        <v>77220.12273475487</v>
      </c>
      <c r="M16" s="49">
        <f t="shared" si="2"/>
        <v>78957.575496286852</v>
      </c>
      <c r="N16" s="49">
        <f t="shared" si="2"/>
        <v>80734.120944953305</v>
      </c>
      <c r="O16" s="49">
        <f t="shared" si="2"/>
        <v>82550.638666214756</v>
      </c>
      <c r="P16" s="49">
        <f t="shared" si="2"/>
        <v>84408.028036204589</v>
      </c>
      <c r="Q16" s="49">
        <f t="shared" si="2"/>
        <v>85674.148456747658</v>
      </c>
      <c r="R16" s="49">
        <f t="shared" si="2"/>
        <v>86959.260683598855</v>
      </c>
      <c r="S16" s="49">
        <f t="shared" si="2"/>
        <v>88263.649593852824</v>
      </c>
      <c r="T16" s="49">
        <f t="shared" si="2"/>
        <v>89587.604337760597</v>
      </c>
      <c r="U16" s="49">
        <f t="shared" si="2"/>
        <v>0</v>
      </c>
      <c r="V16" s="49">
        <f t="shared" si="2"/>
        <v>0</v>
      </c>
      <c r="W16" s="49">
        <f t="shared" si="2"/>
        <v>0</v>
      </c>
      <c r="X16" s="49">
        <f t="shared" si="2"/>
        <v>0</v>
      </c>
      <c r="Y16" s="49">
        <f t="shared" si="2"/>
        <v>0</v>
      </c>
      <c r="Z16" s="49">
        <f t="shared" si="2"/>
        <v>0</v>
      </c>
    </row>
    <row r="17" spans="1:26" x14ac:dyDescent="0.2">
      <c r="A17" s="9" t="s">
        <v>44</v>
      </c>
      <c r="B17" s="4">
        <f t="shared" si="0"/>
        <v>754355.14895037422</v>
      </c>
      <c r="C17" s="38"/>
      <c r="D17" s="38"/>
      <c r="E17" s="38">
        <f t="shared" ref="E17:Z17" si="3">IF(E13="Р",$B$5*E14/COUNTIF(13:13,"Р"),0)</f>
        <v>0</v>
      </c>
      <c r="F17" s="38">
        <f t="shared" si="3"/>
        <v>0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  <c r="L17" s="38">
        <f t="shared" si="3"/>
        <v>77220.12273475487</v>
      </c>
      <c r="M17" s="38">
        <f t="shared" si="3"/>
        <v>78957.575496286852</v>
      </c>
      <c r="N17" s="38">
        <f t="shared" si="3"/>
        <v>80734.120944953305</v>
      </c>
      <c r="O17" s="38">
        <f t="shared" si="3"/>
        <v>82550.638666214756</v>
      </c>
      <c r="P17" s="38">
        <f t="shared" si="3"/>
        <v>84408.028036204589</v>
      </c>
      <c r="Q17" s="38">
        <f t="shared" si="3"/>
        <v>85674.148456747658</v>
      </c>
      <c r="R17" s="38">
        <f t="shared" si="3"/>
        <v>86959.260683598855</v>
      </c>
      <c r="S17" s="38">
        <f t="shared" si="3"/>
        <v>88263.649593852824</v>
      </c>
      <c r="T17" s="38">
        <f t="shared" si="3"/>
        <v>89587.604337760597</v>
      </c>
      <c r="U17" s="38">
        <f t="shared" si="3"/>
        <v>0</v>
      </c>
      <c r="V17" s="38">
        <f t="shared" si="3"/>
        <v>0</v>
      </c>
      <c r="W17" s="38">
        <f t="shared" si="3"/>
        <v>0</v>
      </c>
      <c r="X17" s="38">
        <f t="shared" si="3"/>
        <v>0</v>
      </c>
      <c r="Y17" s="38">
        <f t="shared" si="3"/>
        <v>0</v>
      </c>
      <c r="Z17" s="38">
        <f t="shared" si="3"/>
        <v>0</v>
      </c>
    </row>
    <row r="18" spans="1:26" x14ac:dyDescent="0.2">
      <c r="A18" s="9" t="s">
        <v>39</v>
      </c>
      <c r="B18" s="4">
        <f t="shared" si="0"/>
        <v>0</v>
      </c>
      <c r="C18" s="39">
        <f>B44*'ИДиР (2)'!$B$22/4</f>
        <v>0</v>
      </c>
      <c r="D18" s="39">
        <f>C44*'ИДиР (2)'!$B$22/4</f>
        <v>0</v>
      </c>
      <c r="E18" s="39">
        <f>D44*'ИДиР (2)'!$B$22/4</f>
        <v>0</v>
      </c>
      <c r="F18" s="39">
        <f>E44*'ИДиР (2)'!$B$22/4</f>
        <v>0</v>
      </c>
      <c r="G18" s="39">
        <f>F44*'ИДиР (2)'!$B$22/4</f>
        <v>0</v>
      </c>
      <c r="H18" s="39">
        <f>G44*'ИДиР (2)'!$B$22/4</f>
        <v>0</v>
      </c>
      <c r="I18" s="39">
        <f>H44*'ИДиР (2)'!$B$22/4</f>
        <v>0</v>
      </c>
      <c r="J18" s="39">
        <f>I44*'ИДиР (2)'!$B$22/4</f>
        <v>0</v>
      </c>
      <c r="K18" s="39">
        <f>J44*'ИДиР (2)'!$B$22/4</f>
        <v>0</v>
      </c>
      <c r="L18" s="39">
        <f>K44*'ИДиР (2)'!$B$22/4</f>
        <v>0</v>
      </c>
      <c r="M18" s="39">
        <f>L44*'ИДиР (2)'!$B$22/4</f>
        <v>0</v>
      </c>
      <c r="N18" s="39">
        <f>M44*'ИДиР (2)'!$B$22/4</f>
        <v>0</v>
      </c>
      <c r="O18" s="39">
        <f>N44*'ИДиР (2)'!$B$22/4</f>
        <v>0</v>
      </c>
      <c r="P18" s="39">
        <f>O44*'ИДиР (2)'!$B$22/4</f>
        <v>0</v>
      </c>
      <c r="Q18" s="39">
        <f>P44*'ИДиР (2)'!$B$22/4</f>
        <v>0</v>
      </c>
      <c r="R18" s="39">
        <f>Q44*'ИДиР (2)'!$B$22/4</f>
        <v>0</v>
      </c>
      <c r="S18" s="39">
        <f>R44*'ИДиР (2)'!$B$22/4</f>
        <v>0</v>
      </c>
      <c r="T18" s="39">
        <f>S44*'ИДиР (2)'!$B$22/4</f>
        <v>0</v>
      </c>
      <c r="U18" s="39">
        <f>T44*'ИДиР (2)'!$B$22/4</f>
        <v>0</v>
      </c>
      <c r="V18" s="39">
        <f>U44*'ИДиР (2)'!$B$22/4</f>
        <v>0</v>
      </c>
      <c r="W18" s="39">
        <f>V44*'ИДиР (2)'!$B$22/4</f>
        <v>0</v>
      </c>
      <c r="X18" s="39">
        <f>W44*'ИДиР (2)'!$B$22/4</f>
        <v>0</v>
      </c>
      <c r="Y18" s="39">
        <f>X44*'ИДиР (2)'!$B$22/4</f>
        <v>0</v>
      </c>
      <c r="Z18" s="39">
        <f>Y44*'ИДиР (2)'!$B$22/4</f>
        <v>0</v>
      </c>
    </row>
    <row r="19" spans="1:26" x14ac:dyDescent="0.2">
      <c r="A19" s="9" t="s">
        <v>20</v>
      </c>
      <c r="B19" s="4">
        <f t="shared" si="0"/>
        <v>11593.352554611711</v>
      </c>
      <c r="C19" s="38"/>
      <c r="D19" s="38"/>
      <c r="E19" s="38">
        <f t="shared" ref="E19:F19" si="4">IF(E13="У",-E22-E20,0)</f>
        <v>0</v>
      </c>
      <c r="F19" s="38">
        <f t="shared" si="4"/>
        <v>0</v>
      </c>
      <c r="G19" s="38">
        <f>IF(G13="У",-G22-G20,0)</f>
        <v>0</v>
      </c>
      <c r="H19" s="38">
        <f t="shared" ref="H19:Z19" si="5">IF(H13="У",-H22-H20,0)</f>
        <v>0</v>
      </c>
      <c r="I19" s="38">
        <f t="shared" si="5"/>
        <v>0</v>
      </c>
      <c r="J19" s="38">
        <f t="shared" si="5"/>
        <v>5796.6762773058554</v>
      </c>
      <c r="K19" s="38">
        <f t="shared" si="5"/>
        <v>5796.6762773058554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0</v>
      </c>
      <c r="T19" s="38">
        <f t="shared" si="5"/>
        <v>0</v>
      </c>
      <c r="U19" s="38">
        <f t="shared" si="5"/>
        <v>0</v>
      </c>
      <c r="V19" s="38">
        <f t="shared" si="5"/>
        <v>0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0</v>
      </c>
    </row>
    <row r="20" spans="1:26" x14ac:dyDescent="0.2">
      <c r="A20" s="9" t="s">
        <v>21</v>
      </c>
      <c r="B20" s="4">
        <f t="shared" si="0"/>
        <v>11434.744884375001</v>
      </c>
      <c r="C20" s="38"/>
      <c r="D20" s="38"/>
      <c r="E20" s="38">
        <f t="shared" ref="E20:Z20" si="6">IF(E13="У",$B$7*$B$8/COUNTIF(13:13,"У"),0)</f>
        <v>0</v>
      </c>
      <c r="F20" s="38">
        <f t="shared" si="6"/>
        <v>0</v>
      </c>
      <c r="G20" s="38">
        <f t="shared" si="6"/>
        <v>0</v>
      </c>
      <c r="H20" s="38">
        <f t="shared" si="6"/>
        <v>0</v>
      </c>
      <c r="I20" s="38">
        <f t="shared" si="6"/>
        <v>0</v>
      </c>
      <c r="J20" s="38">
        <f t="shared" si="6"/>
        <v>5717.3724421875004</v>
      </c>
      <c r="K20" s="38">
        <f t="shared" si="6"/>
        <v>5717.3724421875004</v>
      </c>
      <c r="L20" s="38">
        <f t="shared" si="6"/>
        <v>0</v>
      </c>
      <c r="M20" s="38">
        <f t="shared" si="6"/>
        <v>0</v>
      </c>
      <c r="N20" s="38">
        <f t="shared" si="6"/>
        <v>0</v>
      </c>
      <c r="O20" s="38">
        <f t="shared" si="6"/>
        <v>0</v>
      </c>
      <c r="P20" s="38">
        <f t="shared" si="6"/>
        <v>0</v>
      </c>
      <c r="Q20" s="38">
        <f t="shared" si="6"/>
        <v>0</v>
      </c>
      <c r="R20" s="38">
        <f t="shared" si="6"/>
        <v>0</v>
      </c>
      <c r="S20" s="38">
        <f t="shared" si="6"/>
        <v>0</v>
      </c>
      <c r="T20" s="38">
        <f t="shared" si="6"/>
        <v>0</v>
      </c>
      <c r="U20" s="38">
        <f t="shared" si="6"/>
        <v>0</v>
      </c>
      <c r="V20" s="38">
        <f t="shared" si="6"/>
        <v>0</v>
      </c>
      <c r="W20" s="38">
        <f t="shared" si="6"/>
        <v>0</v>
      </c>
      <c r="X20" s="38">
        <f t="shared" si="6"/>
        <v>0</v>
      </c>
      <c r="Y20" s="38">
        <f t="shared" si="6"/>
        <v>0</v>
      </c>
      <c r="Z20" s="38">
        <f t="shared" si="6"/>
        <v>0</v>
      </c>
    </row>
    <row r="21" spans="1:26" s="28" customFormat="1" x14ac:dyDescent="0.2">
      <c r="A21" s="29" t="s">
        <v>22</v>
      </c>
      <c r="B21" s="65"/>
      <c r="C21" s="42">
        <f t="shared" ref="C21:Z21" si="7">B21+C20+C26</f>
        <v>0</v>
      </c>
      <c r="D21" s="42">
        <f t="shared" si="7"/>
        <v>0</v>
      </c>
      <c r="E21" s="42">
        <f t="shared" si="7"/>
        <v>0</v>
      </c>
      <c r="F21" s="42">
        <f t="shared" si="7"/>
        <v>0</v>
      </c>
      <c r="G21" s="42">
        <f t="shared" si="7"/>
        <v>0</v>
      </c>
      <c r="H21" s="42">
        <f t="shared" si="7"/>
        <v>0</v>
      </c>
      <c r="I21" s="42">
        <f t="shared" si="7"/>
        <v>0</v>
      </c>
      <c r="J21" s="42">
        <f t="shared" si="7"/>
        <v>5717.3724421875004</v>
      </c>
      <c r="K21" s="42">
        <f t="shared" si="7"/>
        <v>11434.744884375001</v>
      </c>
      <c r="L21" s="42">
        <f t="shared" si="7"/>
        <v>11434.744884375001</v>
      </c>
      <c r="M21" s="42">
        <f t="shared" si="7"/>
        <v>11434.744884375001</v>
      </c>
      <c r="N21" s="42">
        <f t="shared" si="7"/>
        <v>11434.744884375001</v>
      </c>
      <c r="O21" s="42">
        <f t="shared" si="7"/>
        <v>11434.744884375001</v>
      </c>
      <c r="P21" s="42">
        <f t="shared" si="7"/>
        <v>11434.744884375001</v>
      </c>
      <c r="Q21" s="42">
        <f t="shared" si="7"/>
        <v>11434.744884375001</v>
      </c>
      <c r="R21" s="42">
        <f t="shared" si="7"/>
        <v>0</v>
      </c>
      <c r="S21" s="42">
        <f t="shared" si="7"/>
        <v>0</v>
      </c>
      <c r="T21" s="42">
        <f t="shared" si="7"/>
        <v>0</v>
      </c>
      <c r="U21" s="42">
        <f t="shared" si="7"/>
        <v>0</v>
      </c>
      <c r="V21" s="42">
        <f t="shared" si="7"/>
        <v>0</v>
      </c>
      <c r="W21" s="42">
        <f t="shared" si="7"/>
        <v>0</v>
      </c>
      <c r="X21" s="42">
        <f t="shared" si="7"/>
        <v>0</v>
      </c>
      <c r="Y21" s="42">
        <f t="shared" si="7"/>
        <v>0</v>
      </c>
      <c r="Z21" s="42">
        <f t="shared" si="7"/>
        <v>0</v>
      </c>
    </row>
    <row r="22" spans="1:26" s="44" customFormat="1" x14ac:dyDescent="0.2">
      <c r="A22" s="43" t="s">
        <v>13</v>
      </c>
      <c r="B22" s="49">
        <f t="shared" ref="B22:B29" si="8">SUM(C22:Z22)</f>
        <v>-517951.98636593187</v>
      </c>
      <c r="C22" s="49">
        <f t="shared" ref="C22:V22" si="9">SUM(C23:C29)</f>
        <v>0</v>
      </c>
      <c r="D22" s="49">
        <f t="shared" si="9"/>
        <v>0</v>
      </c>
      <c r="E22" s="49">
        <f t="shared" si="9"/>
        <v>0</v>
      </c>
      <c r="F22" s="49">
        <f t="shared" si="9"/>
        <v>0</v>
      </c>
      <c r="G22" s="49">
        <f t="shared" si="9"/>
        <v>0</v>
      </c>
      <c r="H22" s="49">
        <f t="shared" si="9"/>
        <v>0</v>
      </c>
      <c r="I22" s="49">
        <f t="shared" si="9"/>
        <v>0</v>
      </c>
      <c r="J22" s="49">
        <f t="shared" si="9"/>
        <v>-11514.048719493356</v>
      </c>
      <c r="K22" s="49">
        <f t="shared" si="9"/>
        <v>-11514.048719493356</v>
      </c>
      <c r="L22" s="49">
        <f t="shared" si="9"/>
        <v>-94265.416390119601</v>
      </c>
      <c r="M22" s="49">
        <f t="shared" si="9"/>
        <v>-91346.3462648563</v>
      </c>
      <c r="N22" s="49">
        <f t="shared" si="9"/>
        <v>-92678.566136747453</v>
      </c>
      <c r="O22" s="49">
        <f t="shared" si="9"/>
        <v>-94022.684132779454</v>
      </c>
      <c r="P22" s="49">
        <f t="shared" si="9"/>
        <v>-95378.516040171045</v>
      </c>
      <c r="Q22" s="49">
        <f t="shared" si="9"/>
        <v>-8357.3901197716223</v>
      </c>
      <c r="R22" s="49">
        <f t="shared" si="9"/>
        <v>-15317.94476386729</v>
      </c>
      <c r="S22" s="49">
        <f t="shared" si="9"/>
        <v>-1765.2729918770565</v>
      </c>
      <c r="T22" s="49">
        <f t="shared" si="9"/>
        <v>-1791.7520867552121</v>
      </c>
      <c r="U22" s="49">
        <f t="shared" si="9"/>
        <v>0</v>
      </c>
      <c r="V22" s="49">
        <f t="shared" si="9"/>
        <v>0</v>
      </c>
      <c r="W22" s="49">
        <f t="shared" ref="W22:Z22" si="10">SUM(W23:W27)</f>
        <v>0</v>
      </c>
      <c r="X22" s="49">
        <f t="shared" si="10"/>
        <v>0</v>
      </c>
      <c r="Y22" s="49">
        <f t="shared" si="10"/>
        <v>0</v>
      </c>
      <c r="Z22" s="49">
        <f t="shared" si="10"/>
        <v>0</v>
      </c>
    </row>
    <row r="23" spans="1:26" x14ac:dyDescent="0.2">
      <c r="A23" s="9" t="s">
        <v>23</v>
      </c>
      <c r="B23" s="4">
        <f t="shared" si="8"/>
        <v>-457389.7953750001</v>
      </c>
      <c r="C23" s="38"/>
      <c r="D23" s="38"/>
      <c r="E23" s="38">
        <f t="shared" ref="E23:Z23" si="11">IF(E12="С",IF(E13="У",-$B$7/COUNTIF(13:13,"У"),-($B$6-$B$7)/(COUNTIF(12:12,"С")-COUNTIF(13:13,"У"))),0)</f>
        <v>0</v>
      </c>
      <c r="F23" s="38">
        <f t="shared" si="11"/>
        <v>0</v>
      </c>
      <c r="G23" s="38">
        <f t="shared" si="11"/>
        <v>0</v>
      </c>
      <c r="H23" s="38">
        <f t="shared" si="11"/>
        <v>0</v>
      </c>
      <c r="I23" s="38">
        <f>IF(I12="С",IF(I13="У",-$B$7/COUNTIF(13:13,"У"),-($B$6-$B$7)/(COUNTIF(12:12,"С")-COUNTIF(13:13,"У"))),0)</f>
        <v>0</v>
      </c>
      <c r="J23" s="38">
        <f t="shared" si="11"/>
        <v>-11434.744884375001</v>
      </c>
      <c r="K23" s="38">
        <f t="shared" si="11"/>
        <v>-11434.744884375001</v>
      </c>
      <c r="L23" s="38">
        <f t="shared" si="11"/>
        <v>-86904.061121250008</v>
      </c>
      <c r="M23" s="38">
        <f t="shared" si="11"/>
        <v>-86904.061121250008</v>
      </c>
      <c r="N23" s="38">
        <f t="shared" si="11"/>
        <v>-86904.061121250008</v>
      </c>
      <c r="O23" s="38">
        <f t="shared" si="11"/>
        <v>-86904.061121250008</v>
      </c>
      <c r="P23" s="38">
        <f t="shared" si="11"/>
        <v>-86904.061121250008</v>
      </c>
      <c r="Q23" s="38">
        <f t="shared" si="11"/>
        <v>0</v>
      </c>
      <c r="R23" s="38">
        <f t="shared" si="11"/>
        <v>0</v>
      </c>
      <c r="S23" s="38">
        <f t="shared" si="11"/>
        <v>0</v>
      </c>
      <c r="T23" s="38">
        <f t="shared" si="11"/>
        <v>0</v>
      </c>
      <c r="U23" s="38">
        <f t="shared" si="11"/>
        <v>0</v>
      </c>
      <c r="V23" s="38">
        <f t="shared" si="11"/>
        <v>0</v>
      </c>
      <c r="W23" s="38">
        <f t="shared" si="11"/>
        <v>0</v>
      </c>
      <c r="X23" s="38">
        <f t="shared" si="11"/>
        <v>0</v>
      </c>
      <c r="Y23" s="38">
        <f t="shared" si="11"/>
        <v>0</v>
      </c>
      <c r="Z23" s="38">
        <f t="shared" si="11"/>
        <v>0</v>
      </c>
    </row>
    <row r="24" spans="1:26" x14ac:dyDescent="0.2">
      <c r="A24" s="9" t="s">
        <v>145</v>
      </c>
      <c r="B24" s="4">
        <f>SUM(C24:Z24)</f>
        <v>-18259.25638374166</v>
      </c>
      <c r="C24" s="38">
        <f t="shared" ref="C24:V24" si="12">-C17*2%+C23*$R$1</f>
        <v>0</v>
      </c>
      <c r="D24" s="38">
        <f t="shared" si="12"/>
        <v>0</v>
      </c>
      <c r="E24" s="38">
        <f t="shared" si="12"/>
        <v>0</v>
      </c>
      <c r="F24" s="38">
        <f t="shared" si="12"/>
        <v>0</v>
      </c>
      <c r="G24" s="38">
        <f t="shared" si="12"/>
        <v>0</v>
      </c>
      <c r="H24" s="38">
        <f t="shared" si="12"/>
        <v>0</v>
      </c>
      <c r="I24" s="38">
        <f t="shared" si="12"/>
        <v>0</v>
      </c>
      <c r="J24" s="38">
        <f t="shared" si="12"/>
        <v>-79.303835118354314</v>
      </c>
      <c r="K24" s="38">
        <f t="shared" si="12"/>
        <v>-79.303835118354314</v>
      </c>
      <c r="L24" s="38">
        <f t="shared" si="12"/>
        <v>-2147.1116015945904</v>
      </c>
      <c r="M24" s="38">
        <f t="shared" si="12"/>
        <v>-2181.8606568252299</v>
      </c>
      <c r="N24" s="38">
        <f t="shared" si="12"/>
        <v>-2217.391565798559</v>
      </c>
      <c r="O24" s="38">
        <f t="shared" si="12"/>
        <v>-2253.7219202237884</v>
      </c>
      <c r="P24" s="38">
        <f t="shared" si="12"/>
        <v>-2290.8697076235849</v>
      </c>
      <c r="Q24" s="38">
        <f t="shared" si="12"/>
        <v>-1713.4829691349532</v>
      </c>
      <c r="R24" s="38">
        <f t="shared" si="12"/>
        <v>-1739.1852136719772</v>
      </c>
      <c r="S24" s="38">
        <f t="shared" si="12"/>
        <v>-1765.2729918770565</v>
      </c>
      <c r="T24" s="38">
        <f t="shared" si="12"/>
        <v>-1791.7520867552121</v>
      </c>
      <c r="U24" s="38">
        <f t="shared" si="12"/>
        <v>0</v>
      </c>
      <c r="V24" s="38">
        <f t="shared" si="12"/>
        <v>0</v>
      </c>
      <c r="W24" s="38">
        <f>-W17*2%+W23*0.5933%</f>
        <v>0</v>
      </c>
      <c r="X24" s="38">
        <f>-X17*2%+X23*0.5933%</f>
        <v>0</v>
      </c>
      <c r="Y24" s="38">
        <f>-Y17*2%+Y23*0.5933%</f>
        <v>0</v>
      </c>
      <c r="Z24" s="38">
        <f>-Z17*2%+Z23*0.5933%</f>
        <v>0</v>
      </c>
    </row>
    <row r="25" spans="1:26" x14ac:dyDescent="0.2">
      <c r="A25" s="9" t="s">
        <v>46</v>
      </c>
      <c r="B25" s="4">
        <f t="shared" si="8"/>
        <v>-20033.768944869695</v>
      </c>
      <c r="C25" s="126">
        <f t="shared" ref="C25:G25" si="13">-B37*C39/4</f>
        <v>0</v>
      </c>
      <c r="D25" s="126">
        <f t="shared" si="13"/>
        <v>0</v>
      </c>
      <c r="E25" s="126">
        <f t="shared" si="13"/>
        <v>0</v>
      </c>
      <c r="F25" s="126">
        <f t="shared" si="13"/>
        <v>0</v>
      </c>
      <c r="G25" s="126">
        <f t="shared" si="13"/>
        <v>0</v>
      </c>
      <c r="H25" s="126">
        <f>-G37*H39/4</f>
        <v>0</v>
      </c>
      <c r="I25" s="126">
        <f t="shared" ref="I25:V25" si="14">-H37*I39/4</f>
        <v>0</v>
      </c>
      <c r="J25" s="126">
        <f t="shared" si="14"/>
        <v>0</v>
      </c>
      <c r="K25" s="126">
        <f t="shared" si="14"/>
        <v>0</v>
      </c>
      <c r="L25" s="126">
        <f t="shared" si="14"/>
        <v>0</v>
      </c>
      <c r="M25" s="126">
        <f t="shared" si="14"/>
        <v>-1391.3838755685542</v>
      </c>
      <c r="N25" s="126">
        <f t="shared" si="14"/>
        <v>-2688.072838486376</v>
      </c>
      <c r="O25" s="126">
        <f t="shared" si="14"/>
        <v>-3995.8604800931466</v>
      </c>
      <c r="P25" s="126">
        <f t="shared" si="14"/>
        <v>-5314.5446000849488</v>
      </c>
      <c r="Q25" s="126">
        <f t="shared" si="14"/>
        <v>-6643.9071506366681</v>
      </c>
      <c r="R25" s="126">
        <f t="shared" si="14"/>
        <v>0</v>
      </c>
      <c r="S25" s="126">
        <f t="shared" si="14"/>
        <v>0</v>
      </c>
      <c r="T25" s="126">
        <f t="shared" si="14"/>
        <v>0</v>
      </c>
      <c r="U25" s="126">
        <f t="shared" si="14"/>
        <v>0</v>
      </c>
      <c r="V25" s="126">
        <f t="shared" si="14"/>
        <v>0</v>
      </c>
      <c r="W25" s="38">
        <f>-V38*'ИДиР (2)'!$B$20/4-(V37-V38)*'ИДиР (2)'!$B$21/4</f>
        <v>0</v>
      </c>
      <c r="X25" s="38">
        <f>-W38*'ИДиР (2)'!$B$20/4-(W37-W38)*'ИДиР (2)'!$B$21/4</f>
        <v>0</v>
      </c>
      <c r="Y25" s="38">
        <f>-X38*'ИДиР (2)'!$B$20/4-(X37-X38)*'ИДиР (2)'!$B$21/4</f>
        <v>0</v>
      </c>
      <c r="Z25" s="38">
        <f>-Y38*'ИДиР (2)'!$B$20/4-(Y37-Y38)*'ИДиР (2)'!$B$21/4</f>
        <v>0</v>
      </c>
    </row>
    <row r="26" spans="1:26" x14ac:dyDescent="0.2">
      <c r="A26" s="9" t="s">
        <v>24</v>
      </c>
      <c r="B26" s="4">
        <f t="shared" si="8"/>
        <v>-11434.744884375001</v>
      </c>
      <c r="C26" s="38"/>
      <c r="D26" s="38"/>
      <c r="E26" s="38">
        <f t="shared" ref="E26:Z26" si="15">IF(AND(E12="Э",D21&gt;0,D37=0),-$B$20,0)</f>
        <v>0</v>
      </c>
      <c r="F26" s="38">
        <f t="shared" si="15"/>
        <v>0</v>
      </c>
      <c r="G26" s="38">
        <f t="shared" si="15"/>
        <v>0</v>
      </c>
      <c r="H26" s="38">
        <f t="shared" si="15"/>
        <v>0</v>
      </c>
      <c r="I26" s="38">
        <f t="shared" si="15"/>
        <v>0</v>
      </c>
      <c r="J26" s="38">
        <f t="shared" si="15"/>
        <v>0</v>
      </c>
      <c r="K26" s="38">
        <f t="shared" si="15"/>
        <v>0</v>
      </c>
      <c r="L26" s="38">
        <f t="shared" si="15"/>
        <v>0</v>
      </c>
      <c r="M26" s="38">
        <f t="shared" si="15"/>
        <v>0</v>
      </c>
      <c r="N26" s="38">
        <f t="shared" si="15"/>
        <v>0</v>
      </c>
      <c r="O26" s="38">
        <f t="shared" si="15"/>
        <v>0</v>
      </c>
      <c r="P26" s="38">
        <f t="shared" si="15"/>
        <v>0</v>
      </c>
      <c r="Q26" s="38">
        <f t="shared" si="15"/>
        <v>0</v>
      </c>
      <c r="R26" s="38">
        <f t="shared" si="15"/>
        <v>-11434.744884375001</v>
      </c>
      <c r="S26" s="38">
        <f t="shared" si="15"/>
        <v>0</v>
      </c>
      <c r="T26" s="38">
        <f t="shared" si="15"/>
        <v>0</v>
      </c>
      <c r="U26" s="38">
        <f t="shared" si="15"/>
        <v>0</v>
      </c>
      <c r="V26" s="38">
        <f t="shared" si="15"/>
        <v>0</v>
      </c>
      <c r="W26" s="38">
        <f t="shared" si="15"/>
        <v>0</v>
      </c>
      <c r="X26" s="38">
        <f t="shared" si="15"/>
        <v>0</v>
      </c>
      <c r="Y26" s="38">
        <f t="shared" si="15"/>
        <v>0</v>
      </c>
      <c r="Z26" s="38">
        <f t="shared" si="15"/>
        <v>0</v>
      </c>
    </row>
    <row r="27" spans="1:26" x14ac:dyDescent="0.2">
      <c r="A27" s="9" t="s">
        <v>25</v>
      </c>
      <c r="B27" s="4">
        <f t="shared" si="8"/>
        <v>-2144.014665820313</v>
      </c>
      <c r="C27" s="38"/>
      <c r="D27" s="38"/>
      <c r="E27" s="38">
        <f>IF(E26&lt;0,-SUM($C21:E21)*7.5%*1.25/4,0)</f>
        <v>0</v>
      </c>
      <c r="F27" s="38">
        <f>IF(F26&lt;0,-SUM($C21:F21)*7.5%*1.25/4,0)</f>
        <v>0</v>
      </c>
      <c r="G27" s="38">
        <f>IF(G26&lt;0,-SUM($C21:G21)*'ИДиР (2)'!$B$19/4,0)</f>
        <v>0</v>
      </c>
      <c r="H27" s="38">
        <f>IF(H26&lt;0,-SUM($C21:H21)*'ИДиР (2)'!$B$19/4,0)</f>
        <v>0</v>
      </c>
      <c r="I27" s="38">
        <f>IF(I26&lt;0,-SUM($C21:I21)*'ИДиР (2)'!$B$19/4,0)</f>
        <v>0</v>
      </c>
      <c r="J27" s="38">
        <f>IF(J26&lt;0,-SUM($C21:J21)*'ИДиР (2)'!$B$19/4,0)</f>
        <v>0</v>
      </c>
      <c r="K27" s="38">
        <f>IF(K26&lt;0,-SUM($C21:K21)*'ИДиР (2)'!$B$19/4,0)</f>
        <v>0</v>
      </c>
      <c r="L27" s="38">
        <f>IF(L26&lt;0,-SUM($C21:L21)*'ИДиР (2)'!$B$19/4,0)</f>
        <v>0</v>
      </c>
      <c r="M27" s="38">
        <f>IF(M26&lt;0,-SUM($C21:M21)*'ИДиР (2)'!$B$19/4,0)</f>
        <v>0</v>
      </c>
      <c r="N27" s="38">
        <f>IF(N26&lt;0,-SUM($C21:N21)*'ИДиР (2)'!$B$19/4,0)</f>
        <v>0</v>
      </c>
      <c r="O27" s="38">
        <f>IF(O26&lt;0,-SUM($C21:O21)*'ИДиР (2)'!$B$19/4,0)</f>
        <v>0</v>
      </c>
      <c r="P27" s="38">
        <f>IF(P26&lt;0,-SUM($C21:P21)*'ИДиР (2)'!$B$19/4,0)</f>
        <v>0</v>
      </c>
      <c r="Q27" s="38">
        <f>IF(Q26&lt;0,-SUM($C21:Q21)*'ИДиР (2)'!$B$19/4,0)</f>
        <v>0</v>
      </c>
      <c r="R27" s="38">
        <f>IF(R26&lt;0,-SUM($C21:R21)*'ИДиР (2)'!$B$19/4,0)</f>
        <v>-2144.014665820313</v>
      </c>
      <c r="S27" s="38">
        <f>IF(S26&lt;0,-SUM($C21:S21)*'ИДиР (2)'!$B$19/4,0)</f>
        <v>0</v>
      </c>
      <c r="T27" s="38">
        <f>IF(T26&lt;0,-SUM($C21:T21)*'ИДиР (2)'!$B$19/4,0)</f>
        <v>0</v>
      </c>
      <c r="U27" s="38">
        <f>IF(U26&lt;0,-SUM($C21:U21)*'ИДиР (2)'!$B$19/4,0)</f>
        <v>0</v>
      </c>
      <c r="V27" s="38">
        <f>IF(V26&lt;0,-SUM($C21:V21)*'ИДиР (2)'!$B$19/4,0)</f>
        <v>0</v>
      </c>
      <c r="W27" s="38">
        <f>IF(W26&lt;0,-SUM($C21:W21)*'ИДиР (2)'!$B$19/4,0)</f>
        <v>0</v>
      </c>
      <c r="X27" s="38">
        <f>IF(X26&lt;0,-SUM($C21:X21)*'ИДиР (2)'!$B$19/4,0)</f>
        <v>0</v>
      </c>
      <c r="Y27" s="38">
        <f>IF(Y26&lt;0,-SUM($C21:Y21)*'ИДиР (2)'!$B$19/4,0)</f>
        <v>0</v>
      </c>
      <c r="Z27" s="38">
        <f>IF(Z26&lt;0,-SUM($C21:Z21)*'ИДиР (2)'!$B$19/4,0)</f>
        <v>0</v>
      </c>
    </row>
    <row r="28" spans="1:26" x14ac:dyDescent="0.2">
      <c r="A28" s="9" t="s">
        <v>126</v>
      </c>
      <c r="B28" s="4">
        <f t="shared" si="8"/>
        <v>-4345.2030560625008</v>
      </c>
      <c r="C28" s="38"/>
      <c r="D28" s="38">
        <f t="shared" ref="D28:V28" si="16">IF(D13="Р",IF(AND(D13="Р",D12="С"),D23*1%,0),0)</f>
        <v>0</v>
      </c>
      <c r="E28" s="38">
        <f t="shared" si="16"/>
        <v>0</v>
      </c>
      <c r="F28" s="38">
        <f t="shared" si="16"/>
        <v>0</v>
      </c>
      <c r="G28" s="38">
        <f t="shared" si="16"/>
        <v>0</v>
      </c>
      <c r="H28" s="38">
        <f t="shared" si="16"/>
        <v>0</v>
      </c>
      <c r="I28" s="38">
        <f t="shared" si="16"/>
        <v>0</v>
      </c>
      <c r="J28" s="38">
        <f t="shared" si="16"/>
        <v>0</v>
      </c>
      <c r="K28" s="38">
        <f t="shared" si="16"/>
        <v>0</v>
      </c>
      <c r="L28" s="38">
        <f t="shared" si="16"/>
        <v>-869.04061121250015</v>
      </c>
      <c r="M28" s="38">
        <f t="shared" si="16"/>
        <v>-869.04061121250015</v>
      </c>
      <c r="N28" s="38">
        <f t="shared" si="16"/>
        <v>-869.04061121250015</v>
      </c>
      <c r="O28" s="38">
        <f t="shared" si="16"/>
        <v>-869.04061121250015</v>
      </c>
      <c r="P28" s="38">
        <f t="shared" si="16"/>
        <v>-869.04061121250015</v>
      </c>
      <c r="Q28" s="38">
        <f t="shared" si="16"/>
        <v>0</v>
      </c>
      <c r="R28" s="38">
        <f t="shared" si="16"/>
        <v>0</v>
      </c>
      <c r="S28" s="38">
        <f t="shared" si="16"/>
        <v>0</v>
      </c>
      <c r="T28" s="38">
        <f t="shared" si="16"/>
        <v>0</v>
      </c>
      <c r="U28" s="38">
        <f t="shared" si="16"/>
        <v>0</v>
      </c>
      <c r="V28" s="38">
        <f t="shared" si="16"/>
        <v>0</v>
      </c>
      <c r="W28" s="38"/>
      <c r="X28" s="38"/>
      <c r="Y28" s="38"/>
      <c r="Z28" s="38"/>
    </row>
    <row r="29" spans="1:26" x14ac:dyDescent="0.2">
      <c r="A29" s="9" t="s">
        <v>125</v>
      </c>
      <c r="B29" s="4">
        <f t="shared" si="8"/>
        <v>-4345.2030560624999</v>
      </c>
      <c r="C29" s="38"/>
      <c r="D29" s="38">
        <f>IF(D13="Р",-(IF(C44+D16+SUM(D23:D28)&lt;0,($B$6-$B$7)*1%+SUM($C$29:C29),0)),0)</f>
        <v>0</v>
      </c>
      <c r="E29" s="38">
        <f>IF(E13="Р",-(IF(D44+E16+SUM(E23:E28)&lt;0,($B$6-$B$7)*1%+SUM($C$29:D29),0)),0)</f>
        <v>0</v>
      </c>
      <c r="F29" s="38">
        <f>IF(F13="Р",-(IF(E44+F16+SUM(F23:F28)&lt;0,($B$6-$B$7)*1%+SUM($C$29:E29),0)),0)</f>
        <v>0</v>
      </c>
      <c r="G29" s="38">
        <f>IF(G13="Р",-(IF(F44+G16+SUM(G23:G28)&lt;0,($B$6-$B$7)*1%+SUM($C$29:F29),0)),0)</f>
        <v>0</v>
      </c>
      <c r="H29" s="38">
        <f>IF(H13="Р",-(IF(G44+H16+SUM(H23:H28)&lt;0,($B$6-$B$7)*1%+SUM($C$29:G29),0)),0)</f>
        <v>0</v>
      </c>
      <c r="I29" s="38">
        <f>IF(I13="Р",-(IF(H44+I16+SUM(I23:I28)&lt;0,($B$6-$B$7)*1%+SUM($C$29:H29),0)),0)</f>
        <v>0</v>
      </c>
      <c r="J29" s="38">
        <f>IF(J13="Р",-(IF(I44+J16+SUM(J23:J28)&lt;0,($B$6-$B$7)*1%+SUM($C$29:I29),0)),0)</f>
        <v>0</v>
      </c>
      <c r="K29" s="38">
        <f>IF(K13="Р",-(IF(J44+K16+SUM(K23:K28)&lt;0,($B$6-$B$7)*1%+SUM($C$29:J29),0)),0)</f>
        <v>0</v>
      </c>
      <c r="L29" s="38">
        <f>IF(L13="Р",-(IF(K44+L16+SUM(L23:L28)&lt;0,($B$6-$B$7)*1%+SUM($C$29:K29),0)),0)</f>
        <v>-4345.2030560624999</v>
      </c>
      <c r="M29" s="38">
        <f>IF(M13="Р",-(IF(L44+M16+SUM(M23:M28)&lt;0,($B$6-$B$7)*1%+SUM($C$29:L29),0)),0)</f>
        <v>0</v>
      </c>
      <c r="N29" s="38">
        <f>IF(N13="Р",-(IF(M44+N16+SUM(N23:N28)&lt;0,($B$6-$B$7)*1%+SUM($C$29:M29),0)),0)</f>
        <v>0</v>
      </c>
      <c r="O29" s="38">
        <f>IF(O13="Р",-(IF(N44+O16+SUM(O23:O28)&lt;0,($B$6-$B$7)*1%+SUM($C$29:N29),0)),0)</f>
        <v>0</v>
      </c>
      <c r="P29" s="38">
        <f>IF(P13="Р",-(IF(O44+P16+SUM(P23:P28)&lt;0,($B$6-$B$7)*1%+SUM($C$29:O29),0)),0)</f>
        <v>0</v>
      </c>
      <c r="Q29" s="38">
        <f>IF(Q13="Р",-(IF(P44+Q16+SUM(Q23:Q28)&lt;0,($B$6-$B$7)*1%+SUM($C$29:P29),0)),0)</f>
        <v>0</v>
      </c>
      <c r="R29" s="38">
        <f>IF(R13="Р",-(IF(Q44+R16+SUM(R23:R28)&lt;0,($B$6-$B$7)*1%+SUM($C$29:Q29),0)),0)</f>
        <v>0</v>
      </c>
      <c r="S29" s="38">
        <f>IF(S13="Р",-(IF(R44+S16+SUM(S23:S28)&lt;0,($B$6-$B$7)*1%+SUM($C$29:R29),0)),0)</f>
        <v>0</v>
      </c>
      <c r="T29" s="38">
        <f>IF(T13="Р",-(IF(S44+T16+SUM(T23:T28)&lt;0,($B$6-$B$7)*1%+SUM($C$29:S29),0)),0)</f>
        <v>0</v>
      </c>
      <c r="U29" s="38">
        <f>IF(U13="Р",-(IF(T44+U16+SUM(U23:U28)&lt;0,($B$6-$B$7)*1%+SUM($C$29:T29),0)),0)</f>
        <v>0</v>
      </c>
      <c r="V29" s="38">
        <f>IF(V13="Р",-(IF(U44+V16+SUM(V23:V28)&lt;0,($B$6-$B$7)*1%+SUM($C$29:U29),0)),0)</f>
        <v>0</v>
      </c>
      <c r="W29" s="38"/>
      <c r="X29" s="38"/>
      <c r="Y29" s="38"/>
      <c r="Z29" s="38"/>
    </row>
    <row r="30" spans="1:26" s="44" customFormat="1" x14ac:dyDescent="0.2">
      <c r="A30" s="43" t="s">
        <v>41</v>
      </c>
      <c r="B30" s="49"/>
      <c r="C30" s="49">
        <f t="shared" ref="C30:Z30" si="17">B44+C16+C22</f>
        <v>0</v>
      </c>
      <c r="D30" s="49">
        <f t="shared" si="17"/>
        <v>0</v>
      </c>
      <c r="E30" s="49">
        <f t="shared" si="17"/>
        <v>0</v>
      </c>
      <c r="F30" s="49">
        <f t="shared" si="17"/>
        <v>0</v>
      </c>
      <c r="G30" s="49">
        <f t="shared" si="17"/>
        <v>0</v>
      </c>
      <c r="H30" s="49">
        <f t="shared" si="17"/>
        <v>0</v>
      </c>
      <c r="I30" s="49">
        <f t="shared" si="17"/>
        <v>0</v>
      </c>
      <c r="J30" s="49">
        <f t="shared" si="17"/>
        <v>0</v>
      </c>
      <c r="K30" s="49">
        <f t="shared" si="17"/>
        <v>0</v>
      </c>
      <c r="L30" s="49">
        <f t="shared" si="17"/>
        <v>-17045.293655364731</v>
      </c>
      <c r="M30" s="49">
        <f t="shared" si="17"/>
        <v>-12388.770768569448</v>
      </c>
      <c r="N30" s="49">
        <f t="shared" si="17"/>
        <v>-11944.445191794148</v>
      </c>
      <c r="O30" s="49">
        <f t="shared" si="17"/>
        <v>-11472.045466564698</v>
      </c>
      <c r="P30" s="49">
        <f t="shared" si="17"/>
        <v>-10970.488003966457</v>
      </c>
      <c r="Q30" s="49">
        <f t="shared" si="17"/>
        <v>77316.75833697604</v>
      </c>
      <c r="R30" s="49">
        <f t="shared" si="17"/>
        <v>71641.315919731569</v>
      </c>
      <c r="S30" s="49">
        <f t="shared" si="17"/>
        <v>86498.37660197576</v>
      </c>
      <c r="T30" s="49">
        <f t="shared" si="17"/>
        <v>87795.852251005388</v>
      </c>
      <c r="U30" s="49">
        <f t="shared" si="17"/>
        <v>0</v>
      </c>
      <c r="V30" s="49">
        <f t="shared" si="17"/>
        <v>0</v>
      </c>
      <c r="W30" s="49">
        <f t="shared" si="17"/>
        <v>0</v>
      </c>
      <c r="X30" s="49">
        <f t="shared" si="17"/>
        <v>0</v>
      </c>
      <c r="Y30" s="49">
        <f t="shared" si="17"/>
        <v>0</v>
      </c>
      <c r="Z30" s="49">
        <f t="shared" si="17"/>
        <v>0</v>
      </c>
    </row>
    <row r="31" spans="1:26" x14ac:dyDescent="0.2">
      <c r="A31" s="9" t="s">
        <v>61</v>
      </c>
      <c r="B31" s="4">
        <f>SUM(C31:Z31)</f>
        <v>-403870.48587841436</v>
      </c>
      <c r="C31" s="38">
        <f t="shared" ref="C31:Z31" si="18">IF(C12="С",-C17,0)</f>
        <v>0</v>
      </c>
      <c r="D31" s="38">
        <f t="shared" si="18"/>
        <v>0</v>
      </c>
      <c r="E31" s="38">
        <f t="shared" si="18"/>
        <v>0</v>
      </c>
      <c r="F31" s="38">
        <f t="shared" si="18"/>
        <v>0</v>
      </c>
      <c r="G31" s="38">
        <f t="shared" si="18"/>
        <v>0</v>
      </c>
      <c r="H31" s="38">
        <f t="shared" si="18"/>
        <v>0</v>
      </c>
      <c r="I31" s="38">
        <f t="shared" si="18"/>
        <v>0</v>
      </c>
      <c r="J31" s="38">
        <f t="shared" si="18"/>
        <v>0</v>
      </c>
      <c r="K31" s="38">
        <f t="shared" si="18"/>
        <v>0</v>
      </c>
      <c r="L31" s="38">
        <f t="shared" si="18"/>
        <v>-77220.12273475487</v>
      </c>
      <c r="M31" s="38">
        <f t="shared" si="18"/>
        <v>-78957.575496286852</v>
      </c>
      <c r="N31" s="38">
        <f t="shared" si="18"/>
        <v>-80734.120944953305</v>
      </c>
      <c r="O31" s="38">
        <f t="shared" si="18"/>
        <v>-82550.638666214756</v>
      </c>
      <c r="P31" s="38">
        <f t="shared" si="18"/>
        <v>-84408.028036204589</v>
      </c>
      <c r="Q31" s="38">
        <f t="shared" si="18"/>
        <v>0</v>
      </c>
      <c r="R31" s="38">
        <f t="shared" si="18"/>
        <v>0</v>
      </c>
      <c r="S31" s="38">
        <f t="shared" si="18"/>
        <v>0</v>
      </c>
      <c r="T31" s="38">
        <f t="shared" si="18"/>
        <v>0</v>
      </c>
      <c r="U31" s="38">
        <f t="shared" si="18"/>
        <v>0</v>
      </c>
      <c r="V31" s="38">
        <f t="shared" si="18"/>
        <v>0</v>
      </c>
      <c r="W31" s="38">
        <f t="shared" si="18"/>
        <v>0</v>
      </c>
      <c r="X31" s="38">
        <f t="shared" si="18"/>
        <v>0</v>
      </c>
      <c r="Y31" s="38">
        <f t="shared" si="18"/>
        <v>0</v>
      </c>
      <c r="Z31" s="38">
        <f t="shared" si="18"/>
        <v>0</v>
      </c>
    </row>
    <row r="32" spans="1:26" x14ac:dyDescent="0.2">
      <c r="A32" s="9" t="s">
        <v>26</v>
      </c>
      <c r="B32" s="4">
        <f>SUM(C32:Z32)</f>
        <v>403870.48587841436</v>
      </c>
      <c r="C32" s="38">
        <f>IF(C12="П",-B33,0)</f>
        <v>0</v>
      </c>
      <c r="D32" s="38">
        <f>IF(D12="П",-C33,0)</f>
        <v>0</v>
      </c>
      <c r="E32" s="38">
        <f t="shared" ref="E32:Z32" si="19">IF(E12="Э",-D33,0)</f>
        <v>0</v>
      </c>
      <c r="F32" s="38">
        <f t="shared" si="19"/>
        <v>0</v>
      </c>
      <c r="G32" s="38">
        <f t="shared" si="19"/>
        <v>0</v>
      </c>
      <c r="H32" s="38">
        <f t="shared" si="19"/>
        <v>0</v>
      </c>
      <c r="I32" s="38">
        <f t="shared" si="19"/>
        <v>0</v>
      </c>
      <c r="J32" s="38">
        <f t="shared" si="19"/>
        <v>0</v>
      </c>
      <c r="K32" s="38">
        <f t="shared" si="19"/>
        <v>0</v>
      </c>
      <c r="L32" s="38">
        <f t="shared" si="19"/>
        <v>0</v>
      </c>
      <c r="M32" s="38">
        <f t="shared" si="19"/>
        <v>0</v>
      </c>
      <c r="N32" s="38">
        <f t="shared" si="19"/>
        <v>0</v>
      </c>
      <c r="O32" s="38">
        <f t="shared" si="19"/>
        <v>0</v>
      </c>
      <c r="P32" s="38">
        <f t="shared" si="19"/>
        <v>0</v>
      </c>
      <c r="Q32" s="38">
        <f t="shared" si="19"/>
        <v>403870.48587841436</v>
      </c>
      <c r="R32" s="38">
        <f t="shared" si="19"/>
        <v>0</v>
      </c>
      <c r="S32" s="38">
        <f t="shared" si="19"/>
        <v>0</v>
      </c>
      <c r="T32" s="38">
        <f t="shared" si="19"/>
        <v>0</v>
      </c>
      <c r="U32" s="38">
        <f t="shared" si="19"/>
        <v>0</v>
      </c>
      <c r="V32" s="38">
        <f t="shared" si="19"/>
        <v>0</v>
      </c>
      <c r="W32" s="38">
        <f t="shared" si="19"/>
        <v>0</v>
      </c>
      <c r="X32" s="38">
        <f t="shared" si="19"/>
        <v>0</v>
      </c>
      <c r="Y32" s="38">
        <f t="shared" si="19"/>
        <v>0</v>
      </c>
      <c r="Z32" s="38">
        <f t="shared" si="19"/>
        <v>0</v>
      </c>
    </row>
    <row r="33" spans="1:26" x14ac:dyDescent="0.2">
      <c r="A33" s="29" t="s">
        <v>62</v>
      </c>
      <c r="B33" s="65"/>
      <c r="C33" s="42">
        <f t="shared" ref="C33:Z33" si="20">B33+C31+C32</f>
        <v>0</v>
      </c>
      <c r="D33" s="42">
        <f t="shared" si="20"/>
        <v>0</v>
      </c>
      <c r="E33" s="42">
        <f t="shared" si="20"/>
        <v>0</v>
      </c>
      <c r="F33" s="42">
        <f t="shared" si="20"/>
        <v>0</v>
      </c>
      <c r="G33" s="42">
        <f t="shared" si="20"/>
        <v>0</v>
      </c>
      <c r="H33" s="42">
        <f t="shared" si="20"/>
        <v>0</v>
      </c>
      <c r="I33" s="42">
        <f t="shared" si="20"/>
        <v>0</v>
      </c>
      <c r="J33" s="42">
        <f t="shared" si="20"/>
        <v>0</v>
      </c>
      <c r="K33" s="42">
        <f t="shared" si="20"/>
        <v>0</v>
      </c>
      <c r="L33" s="42">
        <f t="shared" si="20"/>
        <v>-77220.12273475487</v>
      </c>
      <c r="M33" s="42">
        <f t="shared" si="20"/>
        <v>-156177.69823104172</v>
      </c>
      <c r="N33" s="42">
        <f t="shared" si="20"/>
        <v>-236911.81917599501</v>
      </c>
      <c r="O33" s="42">
        <f t="shared" si="20"/>
        <v>-319462.45784220978</v>
      </c>
      <c r="P33" s="42">
        <f t="shared" si="20"/>
        <v>-403870.48587841436</v>
      </c>
      <c r="Q33" s="42">
        <f t="shared" si="20"/>
        <v>0</v>
      </c>
      <c r="R33" s="42">
        <f t="shared" si="20"/>
        <v>0</v>
      </c>
      <c r="S33" s="42">
        <f t="shared" si="20"/>
        <v>0</v>
      </c>
      <c r="T33" s="42">
        <f t="shared" si="20"/>
        <v>0</v>
      </c>
      <c r="U33" s="42">
        <f t="shared" si="20"/>
        <v>0</v>
      </c>
      <c r="V33" s="42">
        <f t="shared" si="20"/>
        <v>0</v>
      </c>
      <c r="W33" s="42">
        <f t="shared" si="20"/>
        <v>0</v>
      </c>
      <c r="X33" s="42">
        <f t="shared" si="20"/>
        <v>0</v>
      </c>
      <c r="Y33" s="42">
        <f t="shared" si="20"/>
        <v>0</v>
      </c>
      <c r="Z33" s="42">
        <f t="shared" si="20"/>
        <v>0</v>
      </c>
    </row>
    <row r="34" spans="1:26" s="44" customFormat="1" x14ac:dyDescent="0.2">
      <c r="A34" s="43" t="s">
        <v>27</v>
      </c>
      <c r="B34" s="49"/>
      <c r="C34" s="49">
        <f t="shared" ref="C34:Z34" si="21">C30+C31+C32</f>
        <v>0</v>
      </c>
      <c r="D34" s="49">
        <f t="shared" si="21"/>
        <v>0</v>
      </c>
      <c r="E34" s="49">
        <f t="shared" si="21"/>
        <v>0</v>
      </c>
      <c r="F34" s="49">
        <f t="shared" si="21"/>
        <v>0</v>
      </c>
      <c r="G34" s="49">
        <f t="shared" si="21"/>
        <v>0</v>
      </c>
      <c r="H34" s="49">
        <f t="shared" si="21"/>
        <v>0</v>
      </c>
      <c r="I34" s="49">
        <f t="shared" si="21"/>
        <v>0</v>
      </c>
      <c r="J34" s="49">
        <f t="shared" si="21"/>
        <v>0</v>
      </c>
      <c r="K34" s="49">
        <f t="shared" si="21"/>
        <v>0</v>
      </c>
      <c r="L34" s="49">
        <f t="shared" si="21"/>
        <v>-94265.416390119601</v>
      </c>
      <c r="M34" s="49">
        <f t="shared" si="21"/>
        <v>-91346.3462648563</v>
      </c>
      <c r="N34" s="49">
        <f t="shared" si="21"/>
        <v>-92678.566136747453</v>
      </c>
      <c r="O34" s="49">
        <f t="shared" si="21"/>
        <v>-94022.684132779454</v>
      </c>
      <c r="P34" s="49">
        <f t="shared" si="21"/>
        <v>-95378.516040171045</v>
      </c>
      <c r="Q34" s="49">
        <f t="shared" si="21"/>
        <v>481187.24421539041</v>
      </c>
      <c r="R34" s="49">
        <f t="shared" si="21"/>
        <v>71641.315919731569</v>
      </c>
      <c r="S34" s="49">
        <f t="shared" si="21"/>
        <v>86498.37660197576</v>
      </c>
      <c r="T34" s="49">
        <f t="shared" si="21"/>
        <v>87795.852251005388</v>
      </c>
      <c r="U34" s="49">
        <f t="shared" si="21"/>
        <v>0</v>
      </c>
      <c r="V34" s="49">
        <f t="shared" si="21"/>
        <v>0</v>
      </c>
      <c r="W34" s="49">
        <f t="shared" si="21"/>
        <v>0</v>
      </c>
      <c r="X34" s="49">
        <f t="shared" si="21"/>
        <v>0</v>
      </c>
      <c r="Y34" s="49">
        <f t="shared" si="21"/>
        <v>0</v>
      </c>
      <c r="Z34" s="49">
        <f t="shared" si="21"/>
        <v>0</v>
      </c>
    </row>
    <row r="35" spans="1:26" x14ac:dyDescent="0.2">
      <c r="A35" s="9" t="s">
        <v>42</v>
      </c>
      <c r="B35" s="4">
        <f>SUM(C35:Z35)</f>
        <v>467691.52896467387</v>
      </c>
      <c r="C35" s="38">
        <f t="shared" ref="C35:D35" si="22">IF(C34&lt;0,-C34,0)</f>
        <v>0</v>
      </c>
      <c r="D35" s="38">
        <f t="shared" si="22"/>
        <v>0</v>
      </c>
      <c r="E35" s="38">
        <f t="shared" ref="E35:Z35" si="23">IF(E12="С",IF(E34&lt;0,-E34,0),0)</f>
        <v>0</v>
      </c>
      <c r="F35" s="38">
        <f t="shared" si="23"/>
        <v>0</v>
      </c>
      <c r="G35" s="38">
        <f t="shared" si="23"/>
        <v>0</v>
      </c>
      <c r="H35" s="38">
        <f t="shared" si="23"/>
        <v>0</v>
      </c>
      <c r="I35" s="38">
        <f t="shared" si="23"/>
        <v>0</v>
      </c>
      <c r="J35" s="38">
        <f t="shared" si="23"/>
        <v>0</v>
      </c>
      <c r="K35" s="38">
        <f t="shared" si="23"/>
        <v>0</v>
      </c>
      <c r="L35" s="38">
        <f t="shared" si="23"/>
        <v>94265.416390119601</v>
      </c>
      <c r="M35" s="38">
        <f t="shared" si="23"/>
        <v>91346.3462648563</v>
      </c>
      <c r="N35" s="38">
        <f t="shared" si="23"/>
        <v>92678.566136747453</v>
      </c>
      <c r="O35" s="38">
        <f t="shared" si="23"/>
        <v>94022.684132779454</v>
      </c>
      <c r="P35" s="38">
        <f t="shared" si="23"/>
        <v>95378.516040171045</v>
      </c>
      <c r="Q35" s="38">
        <f t="shared" si="23"/>
        <v>0</v>
      </c>
      <c r="R35" s="38">
        <f t="shared" si="23"/>
        <v>0</v>
      </c>
      <c r="S35" s="38">
        <f t="shared" si="23"/>
        <v>0</v>
      </c>
      <c r="T35" s="38">
        <f t="shared" si="23"/>
        <v>0</v>
      </c>
      <c r="U35" s="38">
        <f t="shared" si="23"/>
        <v>0</v>
      </c>
      <c r="V35" s="38">
        <f t="shared" si="23"/>
        <v>0</v>
      </c>
      <c r="W35" s="38">
        <f t="shared" si="23"/>
        <v>0</v>
      </c>
      <c r="X35" s="38">
        <f t="shared" si="23"/>
        <v>0</v>
      </c>
      <c r="Y35" s="38">
        <f t="shared" si="23"/>
        <v>0</v>
      </c>
      <c r="Z35" s="38">
        <f t="shared" si="23"/>
        <v>0</v>
      </c>
    </row>
    <row r="36" spans="1:26" x14ac:dyDescent="0.2">
      <c r="A36" s="9" t="s">
        <v>43</v>
      </c>
      <c r="B36" s="4">
        <f>SUM(C36:Z36)</f>
        <v>-467691.52896467387</v>
      </c>
      <c r="C36" s="38">
        <f t="shared" ref="C36:Z36" si="24">IF(C34&gt;0,-MIN(B37,C34),0)</f>
        <v>0</v>
      </c>
      <c r="D36" s="38">
        <f t="shared" si="24"/>
        <v>0</v>
      </c>
      <c r="E36" s="38">
        <f t="shared" si="24"/>
        <v>0</v>
      </c>
      <c r="F36" s="38">
        <f t="shared" si="24"/>
        <v>0</v>
      </c>
      <c r="G36" s="38">
        <f t="shared" si="24"/>
        <v>0</v>
      </c>
      <c r="H36" s="38">
        <f t="shared" si="24"/>
        <v>0</v>
      </c>
      <c r="I36" s="38">
        <f t="shared" si="24"/>
        <v>0</v>
      </c>
      <c r="J36" s="38">
        <f t="shared" si="24"/>
        <v>0</v>
      </c>
      <c r="K36" s="38">
        <f t="shared" si="24"/>
        <v>0</v>
      </c>
      <c r="L36" s="38">
        <f t="shared" si="24"/>
        <v>0</v>
      </c>
      <c r="M36" s="38">
        <f t="shared" si="24"/>
        <v>0</v>
      </c>
      <c r="N36" s="38">
        <f t="shared" si="24"/>
        <v>0</v>
      </c>
      <c r="O36" s="38">
        <f t="shared" si="24"/>
        <v>0</v>
      </c>
      <c r="P36" s="38">
        <f t="shared" si="24"/>
        <v>0</v>
      </c>
      <c r="Q36" s="38">
        <f t="shared" si="24"/>
        <v>-467691.52896467387</v>
      </c>
      <c r="R36" s="38">
        <f t="shared" si="24"/>
        <v>0</v>
      </c>
      <c r="S36" s="38">
        <f t="shared" si="24"/>
        <v>0</v>
      </c>
      <c r="T36" s="38">
        <f t="shared" si="24"/>
        <v>0</v>
      </c>
      <c r="U36" s="38">
        <f t="shared" si="24"/>
        <v>0</v>
      </c>
      <c r="V36" s="38">
        <f t="shared" si="24"/>
        <v>0</v>
      </c>
      <c r="W36" s="38">
        <f t="shared" si="24"/>
        <v>0</v>
      </c>
      <c r="X36" s="38">
        <f t="shared" si="24"/>
        <v>0</v>
      </c>
      <c r="Y36" s="38">
        <f t="shared" si="24"/>
        <v>0</v>
      </c>
      <c r="Z36" s="38">
        <f t="shared" si="24"/>
        <v>0</v>
      </c>
    </row>
    <row r="37" spans="1:26" x14ac:dyDescent="0.2">
      <c r="A37" s="29" t="s">
        <v>4</v>
      </c>
      <c r="B37" s="65"/>
      <c r="C37" s="42">
        <f t="shared" ref="C37:Z37" si="25">B37+C35+C36</f>
        <v>0</v>
      </c>
      <c r="D37" s="42">
        <f t="shared" si="25"/>
        <v>0</v>
      </c>
      <c r="E37" s="42">
        <f t="shared" si="25"/>
        <v>0</v>
      </c>
      <c r="F37" s="42">
        <f t="shared" si="25"/>
        <v>0</v>
      </c>
      <c r="G37" s="42">
        <f t="shared" si="25"/>
        <v>0</v>
      </c>
      <c r="H37" s="42">
        <f t="shared" si="25"/>
        <v>0</v>
      </c>
      <c r="I37" s="42">
        <f t="shared" si="25"/>
        <v>0</v>
      </c>
      <c r="J37" s="42">
        <f t="shared" si="25"/>
        <v>0</v>
      </c>
      <c r="K37" s="42">
        <f t="shared" si="25"/>
        <v>0</v>
      </c>
      <c r="L37" s="42">
        <f t="shared" si="25"/>
        <v>94265.416390119601</v>
      </c>
      <c r="M37" s="42">
        <f t="shared" si="25"/>
        <v>185611.7626549759</v>
      </c>
      <c r="N37" s="42">
        <f t="shared" si="25"/>
        <v>278290.32879172335</v>
      </c>
      <c r="O37" s="42">
        <f t="shared" si="25"/>
        <v>372313.01292450284</v>
      </c>
      <c r="P37" s="42">
        <f t="shared" si="25"/>
        <v>467691.52896467387</v>
      </c>
      <c r="Q37" s="42">
        <f t="shared" si="25"/>
        <v>0</v>
      </c>
      <c r="R37" s="42">
        <f t="shared" si="25"/>
        <v>0</v>
      </c>
      <c r="S37" s="42">
        <f t="shared" si="25"/>
        <v>0</v>
      </c>
      <c r="T37" s="42">
        <f t="shared" si="25"/>
        <v>0</v>
      </c>
      <c r="U37" s="42">
        <f t="shared" si="25"/>
        <v>0</v>
      </c>
      <c r="V37" s="42">
        <f t="shared" si="25"/>
        <v>0</v>
      </c>
      <c r="W37" s="42">
        <f t="shared" si="25"/>
        <v>0</v>
      </c>
      <c r="X37" s="42">
        <f t="shared" si="25"/>
        <v>0</v>
      </c>
      <c r="Y37" s="42">
        <f t="shared" si="25"/>
        <v>0</v>
      </c>
      <c r="Z37" s="42">
        <f t="shared" si="25"/>
        <v>0</v>
      </c>
    </row>
    <row r="38" spans="1:26" x14ac:dyDescent="0.2">
      <c r="A38" s="66" t="s">
        <v>28</v>
      </c>
      <c r="B38" s="65"/>
      <c r="C38" s="42">
        <f t="shared" ref="C38:Z38" si="26">C37+C33</f>
        <v>0</v>
      </c>
      <c r="D38" s="42">
        <f t="shared" si="26"/>
        <v>0</v>
      </c>
      <c r="E38" s="42">
        <f t="shared" si="26"/>
        <v>0</v>
      </c>
      <c r="F38" s="42">
        <f t="shared" si="26"/>
        <v>0</v>
      </c>
      <c r="G38" s="42">
        <f t="shared" si="26"/>
        <v>0</v>
      </c>
      <c r="H38" s="42">
        <f t="shared" si="26"/>
        <v>0</v>
      </c>
      <c r="I38" s="42">
        <f t="shared" si="26"/>
        <v>0</v>
      </c>
      <c r="J38" s="42">
        <f t="shared" si="26"/>
        <v>0</v>
      </c>
      <c r="K38" s="42">
        <f t="shared" si="26"/>
        <v>0</v>
      </c>
      <c r="L38" s="42">
        <f t="shared" si="26"/>
        <v>17045.293655364731</v>
      </c>
      <c r="M38" s="42">
        <f t="shared" si="26"/>
        <v>29434.064423934178</v>
      </c>
      <c r="N38" s="42">
        <f t="shared" si="26"/>
        <v>41378.509615728341</v>
      </c>
      <c r="O38" s="42">
        <f t="shared" si="26"/>
        <v>52850.555082293053</v>
      </c>
      <c r="P38" s="42">
        <f t="shared" si="26"/>
        <v>63821.043086259509</v>
      </c>
      <c r="Q38" s="42">
        <f t="shared" si="26"/>
        <v>0</v>
      </c>
      <c r="R38" s="42">
        <f t="shared" si="26"/>
        <v>0</v>
      </c>
      <c r="S38" s="42">
        <f t="shared" si="26"/>
        <v>0</v>
      </c>
      <c r="T38" s="42">
        <f t="shared" si="26"/>
        <v>0</v>
      </c>
      <c r="U38" s="42">
        <f t="shared" si="26"/>
        <v>0</v>
      </c>
      <c r="V38" s="42">
        <f t="shared" si="26"/>
        <v>0</v>
      </c>
      <c r="W38" s="42">
        <f t="shared" si="26"/>
        <v>0</v>
      </c>
      <c r="X38" s="42">
        <f t="shared" si="26"/>
        <v>0</v>
      </c>
      <c r="Y38" s="42">
        <f t="shared" si="26"/>
        <v>0</v>
      </c>
      <c r="Z38" s="42">
        <f t="shared" si="26"/>
        <v>0</v>
      </c>
    </row>
    <row r="39" spans="1:26" x14ac:dyDescent="0.2">
      <c r="A39" s="29" t="s">
        <v>124</v>
      </c>
      <c r="B39" s="65"/>
      <c r="C39" s="128">
        <f>IF(B37&gt;0,IF(B37&gt;-B33,(-B33*'ИДиР (2)'!$B$21+(B37+B33)*'ИДиР (2)'!$B$20)/B37,MAX((B37*'ИДиР (2)'!$B$21-(-B33-B37)*'ИДиР (2)'!$B$22)/B37,0.01%)),0)</f>
        <v>0</v>
      </c>
      <c r="D39" s="128">
        <f>IF(C37&gt;0,IF(C37&gt;-C33,(-C33*'ИДиР (2)'!$B$21+(C37+C33)*'ИДиР (2)'!$B$20)/C37,MAX((C37*'ИДиР (2)'!$B$21-(-C33-C37)*'ИДиР (2)'!$B$22)/C37,0.01%)),0)</f>
        <v>0</v>
      </c>
      <c r="E39" s="128">
        <f>IF(D37&gt;0,IF(D37&gt;-D33,(-D33*'ИДиР (2)'!$B$21+(D37+D33)*'ИДиР (2)'!$B$20)/D37,MAX((D37*'ИДиР (2)'!$B$21-(-D33-D37)*'ИДиР (2)'!$B$22)/D37,0.01%)),0)</f>
        <v>0</v>
      </c>
      <c r="F39" s="128">
        <f>IF(E37&gt;0,IF(E37&gt;-E33,(-E33*'ИДиР (2)'!$B$21+(E37+E33)*'ИДиР (2)'!$B$20)/E37,MAX((E37*'ИДиР (2)'!$B$21-(-E33-E37)*'ИДиР (2)'!$B$22)/E37,0.01%)),0)</f>
        <v>0</v>
      </c>
      <c r="G39" s="128">
        <f>IF(F37&gt;0,IF(F37&gt;-F33,(-F33*'ИДиР (2)'!$B$21+(F37+F33)*'ИДиР (2)'!$B$20)/F37,MAX((F37*'ИДиР (2)'!$B$21-(-F33-F37)*'ИДиР (2)'!$B$22)/F37,0.01%)),0)</f>
        <v>0</v>
      </c>
      <c r="H39" s="128">
        <f>IF(G37&gt;0,IF(G37&gt;-G33,(-G33*'ИДиР (2)'!$B$21+(G37+G33)*'ИДиР (2)'!$B$20)/G37,MAX((G37*'ИДиР (2)'!$B$21-(-G33-G37)*'ИДиР (2)'!$B$22)/G37,0.01%)),0)</f>
        <v>0</v>
      </c>
      <c r="I39" s="128">
        <f>IF(H37&gt;0,IF(H37&gt;-H33,(-H33*'ИДиР (2)'!$B$21+(H37+H33)*'ИДиР (2)'!$B$20)/H37,MAX((H37*'ИДиР (2)'!$B$21-(-H33-H37)*'ИДиР (2)'!$B$22)/H37,0.01%)),0)</f>
        <v>0</v>
      </c>
      <c r="J39" s="128">
        <f>IF(I37&gt;0,IF(I37&gt;-I33,(-I33*'ИДиР (2)'!$B$21+(I37+I33)*'ИДиР (2)'!$B$20)/I37,MAX((I37*'ИДиР (2)'!$B$21-(-I33-I37)*'ИДиР (2)'!$B$22)/I37,0.01%)),0)</f>
        <v>0</v>
      </c>
      <c r="K39" s="128">
        <f>IF(J37&gt;0,IF(J37&gt;-J33,(-J33*'ИДиР (2)'!$B$21+(J37+J33)*'ИДиР (2)'!$B$20)/J37,MAX((J37*'ИДиР (2)'!$B$21-(-J33-J37)*'ИДиР (2)'!$B$22)/J37,0.01%)),0)</f>
        <v>0</v>
      </c>
      <c r="L39" s="128">
        <f>IF(K37&gt;0,IF(K37&gt;-K33,(-K33*'ИДиР (2)'!$B$21+(K37+K33)*'ИДиР (2)'!$B$20)/K37,MAX((K37*'ИДиР (2)'!$B$21-(-K33-K37)*'ИДиР (2)'!$B$22)/K37,0.01%)),0)</f>
        <v>0</v>
      </c>
      <c r="M39" s="128">
        <f>IF(L37&gt;0,IF(L37&gt;-L33,(-L33*'ИДиР (2)'!$B$21+(L37+L33)*'ИДиР (2)'!$B$20)/L37,MAX((L37*'ИДиР (2)'!$B$21-(-L33-L37)*'ИДиР (2)'!$B$22)/L37,0.01%)),0)</f>
        <v>5.9041117255994709E-2</v>
      </c>
      <c r="N39" s="128">
        <f>IF(M37&gt;0,IF(M37&gt;-M33,(-M33*'ИДиР (2)'!$B$21+(M37+M33)*'ИДиР (2)'!$B$20)/M37,MAX((M37*'ИДиР (2)'!$B$21-(-M33-M37)*'ИДиР (2)'!$B$22)/M37,0.01%)),0)</f>
        <v>5.7928932952015448E-2</v>
      </c>
      <c r="O39" s="128">
        <f>IF(N37&gt;0,IF(N37&gt;-N33,(-N33*'ИДиР (2)'!$B$21+(N37+N33)*'ИДиР (2)'!$B$20)/N37,MAX((N37*'ИДиР (2)'!$B$21-(-N33-N37)*'ИДиР (2)'!$B$22)/N37,0.01%)),0)</f>
        <v>5.7434413871905815E-2</v>
      </c>
      <c r="P39" s="128">
        <f>IF(O37&gt;0,IF(O37&gt;-O33,(-O33*'ИДиР (2)'!$B$21+(O37+O33)*'ИДиР (2)'!$B$20)/O37,MAX((O37*'ИДиР (2)'!$B$21-(-O33-O37)*'ИДиР (2)'!$B$22)/O37,0.01%)),0)</f>
        <v>5.7097597081976023E-2</v>
      </c>
      <c r="Q39" s="128">
        <f>IF(P37&gt;0,IF(P37&gt;-P33,(-P33*'ИДиР (2)'!$B$21+(P37+P33)*'ИДиР (2)'!$B$20)/P37,MAX((P37*'ИДиР (2)'!$B$21-(-P33-P37)*'ИДиР (2)'!$B$22)/P37,0.01%)),0)</f>
        <v>5.6822984716821776E-2</v>
      </c>
      <c r="R39" s="128">
        <f>IF(Q37&gt;0,IF(Q37&gt;-Q33,(-Q33*'ИДиР (2)'!$B$21+(Q37+Q33)*'ИДиР (2)'!$B$20)/Q37,MAX((Q37*'ИДиР (2)'!$B$21-(-Q33-Q37)*'ИДиР (2)'!$B$22)/Q37,0.01%)),0)</f>
        <v>0</v>
      </c>
      <c r="S39" s="128">
        <f>IF(R37&gt;0,IF(R37&gt;-R33,(-R33*'ИДиР (2)'!$B$21+(R37+R33)*'ИДиР (2)'!$B$20)/R37,MAX((R37*'ИДиР (2)'!$B$21-(-R33-R37)*'ИДиР (2)'!$B$22)/R37,0.01%)),0)</f>
        <v>0</v>
      </c>
      <c r="T39" s="128">
        <f>IF(S37&gt;0,IF(S37&gt;-S33,(-S33*'ИДиР (2)'!$B$21+(S37+S33)*'ИДиР (2)'!$B$20)/S37,MAX((S37*'ИДиР (2)'!$B$21-(-S33-S37)*'ИДиР (2)'!$B$22)/S37,0.01%)),0)</f>
        <v>0</v>
      </c>
      <c r="U39" s="128">
        <f>IF(T37&gt;0,IF(T37&gt;-T33,(-T33*'ИДиР (2)'!$B$21+(T37+T33)*'ИДиР (2)'!$B$20)/T37,MAX((T37*'ИДиР (2)'!$B$21-(-T33-T37)*'ИДиР (2)'!$B$22)/T37,0.01%)),0)</f>
        <v>0</v>
      </c>
      <c r="V39" s="128">
        <f>IF(U37&gt;0,IF(U37&gt;-U33,(-U33*'ИДиР (2)'!$B$21+(U37+U33)*'ИДиР (2)'!$B$20)/U37,MAX((U37*'ИДиР (2)'!$B$21-(-U33-U37)*'ИДиР (2)'!$B$22)/U37,0.01%)),0)</f>
        <v>0</v>
      </c>
      <c r="W39" s="42"/>
      <c r="X39" s="42"/>
      <c r="Y39" s="42"/>
      <c r="Z39" s="42"/>
    </row>
    <row r="40" spans="1:26" s="44" customFormat="1" x14ac:dyDescent="0.2">
      <c r="A40" s="43" t="s">
        <v>0</v>
      </c>
      <c r="B40" s="49"/>
      <c r="C40" s="49">
        <f t="shared" ref="C40:Z40" si="27">C34+C35+C36</f>
        <v>0</v>
      </c>
      <c r="D40" s="49">
        <f t="shared" si="27"/>
        <v>0</v>
      </c>
      <c r="E40" s="49">
        <f t="shared" si="27"/>
        <v>0</v>
      </c>
      <c r="F40" s="49">
        <f t="shared" si="27"/>
        <v>0</v>
      </c>
      <c r="G40" s="49">
        <f t="shared" si="27"/>
        <v>0</v>
      </c>
      <c r="H40" s="49">
        <f t="shared" si="27"/>
        <v>0</v>
      </c>
      <c r="I40" s="49">
        <f t="shared" si="27"/>
        <v>0</v>
      </c>
      <c r="J40" s="49">
        <f t="shared" si="27"/>
        <v>0</v>
      </c>
      <c r="K40" s="49">
        <f t="shared" si="27"/>
        <v>0</v>
      </c>
      <c r="L40" s="49">
        <f t="shared" si="27"/>
        <v>0</v>
      </c>
      <c r="M40" s="49">
        <f t="shared" si="27"/>
        <v>0</v>
      </c>
      <c r="N40" s="49">
        <f t="shared" si="27"/>
        <v>0</v>
      </c>
      <c r="O40" s="49">
        <f t="shared" si="27"/>
        <v>0</v>
      </c>
      <c r="P40" s="49">
        <f t="shared" si="27"/>
        <v>0</v>
      </c>
      <c r="Q40" s="49">
        <f t="shared" si="27"/>
        <v>13495.715250716545</v>
      </c>
      <c r="R40" s="49">
        <f t="shared" si="27"/>
        <v>71641.315919731569</v>
      </c>
      <c r="S40" s="49">
        <f t="shared" si="27"/>
        <v>86498.37660197576</v>
      </c>
      <c r="T40" s="49">
        <f t="shared" si="27"/>
        <v>87795.852251005388</v>
      </c>
      <c r="U40" s="49">
        <f t="shared" si="27"/>
        <v>0</v>
      </c>
      <c r="V40" s="49">
        <f t="shared" si="27"/>
        <v>0</v>
      </c>
      <c r="W40" s="49">
        <f t="shared" si="27"/>
        <v>0</v>
      </c>
      <c r="X40" s="49">
        <f t="shared" si="27"/>
        <v>0</v>
      </c>
      <c r="Y40" s="49">
        <f t="shared" si="27"/>
        <v>0</v>
      </c>
      <c r="Z40" s="49">
        <f t="shared" si="27"/>
        <v>0</v>
      </c>
    </row>
    <row r="41" spans="1:26" x14ac:dyDescent="0.2">
      <c r="A41" s="9" t="s">
        <v>5</v>
      </c>
      <c r="B41" s="4">
        <f>SUM(C41:Z41)</f>
        <v>-53219.432770511841</v>
      </c>
      <c r="C41" s="38">
        <f t="shared" ref="C41:Z41" si="28">C53</f>
        <v>0</v>
      </c>
      <c r="D41" s="38">
        <f t="shared" si="28"/>
        <v>0</v>
      </c>
      <c r="E41" s="38">
        <f t="shared" si="28"/>
        <v>0</v>
      </c>
      <c r="F41" s="38">
        <f t="shared" si="28"/>
        <v>0</v>
      </c>
      <c r="G41" s="38">
        <f t="shared" si="28"/>
        <v>0</v>
      </c>
      <c r="H41" s="38">
        <f t="shared" si="28"/>
        <v>0</v>
      </c>
      <c r="I41" s="38">
        <f t="shared" si="28"/>
        <v>0</v>
      </c>
      <c r="J41" s="38">
        <f t="shared" si="28"/>
        <v>0</v>
      </c>
      <c r="K41" s="38">
        <f t="shared" si="28"/>
        <v>0</v>
      </c>
      <c r="L41" s="38">
        <f t="shared" si="28"/>
        <v>0</v>
      </c>
      <c r="M41" s="38">
        <f t="shared" si="28"/>
        <v>0</v>
      </c>
      <c r="N41" s="38">
        <f t="shared" si="28"/>
        <v>0</v>
      </c>
      <c r="O41" s="38">
        <f>O53</f>
        <v>0</v>
      </c>
      <c r="P41" s="38">
        <f t="shared" si="28"/>
        <v>0</v>
      </c>
      <c r="Q41" s="38">
        <f t="shared" si="28"/>
        <v>-686.13278063345069</v>
      </c>
      <c r="R41" s="38">
        <f t="shared" si="28"/>
        <v>-16963.049203555707</v>
      </c>
      <c r="S41" s="38">
        <f t="shared" si="28"/>
        <v>-17652.729918770565</v>
      </c>
      <c r="T41" s="38">
        <f t="shared" si="28"/>
        <v>-17917.520867552121</v>
      </c>
      <c r="U41" s="38">
        <f t="shared" si="28"/>
        <v>0</v>
      </c>
      <c r="V41" s="38">
        <f t="shared" si="28"/>
        <v>0</v>
      </c>
      <c r="W41" s="38">
        <f t="shared" si="28"/>
        <v>0</v>
      </c>
      <c r="X41" s="38">
        <f t="shared" si="28"/>
        <v>0</v>
      </c>
      <c r="Y41" s="38">
        <f t="shared" si="28"/>
        <v>0</v>
      </c>
      <c r="Z41" s="38">
        <f t="shared" si="28"/>
        <v>0</v>
      </c>
    </row>
    <row r="42" spans="1:26" s="44" customFormat="1" x14ac:dyDescent="0.2">
      <c r="A42" s="43" t="s">
        <v>29</v>
      </c>
      <c r="B42" s="49"/>
      <c r="C42" s="49">
        <f t="shared" ref="C42:Z42" si="29">C40+C41</f>
        <v>0</v>
      </c>
      <c r="D42" s="49">
        <f t="shared" si="29"/>
        <v>0</v>
      </c>
      <c r="E42" s="49">
        <f t="shared" si="29"/>
        <v>0</v>
      </c>
      <c r="F42" s="49">
        <f t="shared" si="29"/>
        <v>0</v>
      </c>
      <c r="G42" s="49">
        <f t="shared" si="29"/>
        <v>0</v>
      </c>
      <c r="H42" s="49">
        <f t="shared" si="29"/>
        <v>0</v>
      </c>
      <c r="I42" s="49">
        <f t="shared" si="29"/>
        <v>0</v>
      </c>
      <c r="J42" s="49">
        <f t="shared" si="29"/>
        <v>0</v>
      </c>
      <c r="K42" s="49">
        <f t="shared" si="29"/>
        <v>0</v>
      </c>
      <c r="L42" s="49">
        <f t="shared" si="29"/>
        <v>0</v>
      </c>
      <c r="M42" s="49">
        <f t="shared" si="29"/>
        <v>0</v>
      </c>
      <c r="N42" s="49">
        <f t="shared" si="29"/>
        <v>0</v>
      </c>
      <c r="O42" s="49">
        <f t="shared" si="29"/>
        <v>0</v>
      </c>
      <c r="P42" s="49">
        <f t="shared" si="29"/>
        <v>0</v>
      </c>
      <c r="Q42" s="49">
        <f t="shared" si="29"/>
        <v>12809.582470083094</v>
      </c>
      <c r="R42" s="49">
        <f t="shared" si="29"/>
        <v>54678.266716175858</v>
      </c>
      <c r="S42" s="49">
        <f t="shared" si="29"/>
        <v>68845.646683205196</v>
      </c>
      <c r="T42" s="49">
        <f t="shared" si="29"/>
        <v>69878.331383453275</v>
      </c>
      <c r="U42" s="49">
        <f t="shared" si="29"/>
        <v>0</v>
      </c>
      <c r="V42" s="49">
        <f t="shared" si="29"/>
        <v>0</v>
      </c>
      <c r="W42" s="49">
        <f t="shared" si="29"/>
        <v>0</v>
      </c>
      <c r="X42" s="49">
        <f t="shared" si="29"/>
        <v>0</v>
      </c>
      <c r="Y42" s="49">
        <f t="shared" si="29"/>
        <v>0</v>
      </c>
      <c r="Z42" s="49">
        <f t="shared" si="29"/>
        <v>0</v>
      </c>
    </row>
    <row r="43" spans="1:26" x14ac:dyDescent="0.2">
      <c r="A43" s="9" t="s">
        <v>30</v>
      </c>
      <c r="B43" s="4">
        <f>SUM(C43:Z43)</f>
        <v>-206211.82725291743</v>
      </c>
      <c r="C43" s="38">
        <f t="shared" ref="C43:R43" si="30">IF(C42&gt;0,-C42,0)</f>
        <v>0</v>
      </c>
      <c r="D43" s="38">
        <f t="shared" si="30"/>
        <v>0</v>
      </c>
      <c r="E43" s="38">
        <f t="shared" si="30"/>
        <v>0</v>
      </c>
      <c r="F43" s="38">
        <f t="shared" si="30"/>
        <v>0</v>
      </c>
      <c r="G43" s="38">
        <f t="shared" si="30"/>
        <v>0</v>
      </c>
      <c r="H43" s="38">
        <f t="shared" si="30"/>
        <v>0</v>
      </c>
      <c r="I43" s="38">
        <f t="shared" si="30"/>
        <v>0</v>
      </c>
      <c r="J43" s="38">
        <f t="shared" si="30"/>
        <v>0</v>
      </c>
      <c r="K43" s="38">
        <f t="shared" si="30"/>
        <v>0</v>
      </c>
      <c r="L43" s="38">
        <f t="shared" si="30"/>
        <v>0</v>
      </c>
      <c r="M43" s="38">
        <f t="shared" si="30"/>
        <v>0</v>
      </c>
      <c r="N43" s="38">
        <f t="shared" si="30"/>
        <v>0</v>
      </c>
      <c r="O43" s="38">
        <f t="shared" si="30"/>
        <v>0</v>
      </c>
      <c r="P43" s="38">
        <f t="shared" si="30"/>
        <v>0</v>
      </c>
      <c r="Q43" s="38">
        <f t="shared" si="30"/>
        <v>-12809.582470083094</v>
      </c>
      <c r="R43" s="38">
        <f t="shared" si="30"/>
        <v>-54678.266716175858</v>
      </c>
      <c r="S43" s="38">
        <f>IF(S42&gt;0,-S42,0)</f>
        <v>-68845.646683205196</v>
      </c>
      <c r="T43" s="38">
        <f t="shared" ref="T43:Z43" si="31">IF(T42&gt;0,-T42,0)</f>
        <v>-69878.331383453275</v>
      </c>
      <c r="U43" s="38">
        <f t="shared" si="31"/>
        <v>0</v>
      </c>
      <c r="V43" s="38">
        <f t="shared" si="31"/>
        <v>0</v>
      </c>
      <c r="W43" s="38">
        <f t="shared" si="31"/>
        <v>0</v>
      </c>
      <c r="X43" s="38">
        <f t="shared" si="31"/>
        <v>0</v>
      </c>
      <c r="Y43" s="38">
        <f t="shared" si="31"/>
        <v>0</v>
      </c>
      <c r="Z43" s="38">
        <f t="shared" si="31"/>
        <v>0</v>
      </c>
    </row>
    <row r="44" spans="1:26" s="44" customFormat="1" x14ac:dyDescent="0.2">
      <c r="A44" s="43" t="s">
        <v>31</v>
      </c>
      <c r="B44" s="49"/>
      <c r="C44" s="49">
        <f t="shared" ref="C44:Z44" si="32">C42+C43</f>
        <v>0</v>
      </c>
      <c r="D44" s="49">
        <f t="shared" si="32"/>
        <v>0</v>
      </c>
      <c r="E44" s="49">
        <f t="shared" si="32"/>
        <v>0</v>
      </c>
      <c r="F44" s="49">
        <f t="shared" si="32"/>
        <v>0</v>
      </c>
      <c r="G44" s="49">
        <f t="shared" si="32"/>
        <v>0</v>
      </c>
      <c r="H44" s="49">
        <f t="shared" si="32"/>
        <v>0</v>
      </c>
      <c r="I44" s="49">
        <f t="shared" si="32"/>
        <v>0</v>
      </c>
      <c r="J44" s="49">
        <f t="shared" si="32"/>
        <v>0</v>
      </c>
      <c r="K44" s="49">
        <f t="shared" si="32"/>
        <v>0</v>
      </c>
      <c r="L44" s="49">
        <f t="shared" si="32"/>
        <v>0</v>
      </c>
      <c r="M44" s="49">
        <f t="shared" si="32"/>
        <v>0</v>
      </c>
      <c r="N44" s="49">
        <f t="shared" si="32"/>
        <v>0</v>
      </c>
      <c r="O44" s="49">
        <f t="shared" si="32"/>
        <v>0</v>
      </c>
      <c r="P44" s="49">
        <f t="shared" si="32"/>
        <v>0</v>
      </c>
      <c r="Q44" s="49">
        <f t="shared" si="32"/>
        <v>0</v>
      </c>
      <c r="R44" s="49">
        <f t="shared" si="32"/>
        <v>0</v>
      </c>
      <c r="S44" s="49">
        <f t="shared" si="32"/>
        <v>0</v>
      </c>
      <c r="T44" s="49">
        <f t="shared" si="32"/>
        <v>0</v>
      </c>
      <c r="U44" s="49">
        <f t="shared" si="32"/>
        <v>0</v>
      </c>
      <c r="V44" s="49">
        <f t="shared" si="32"/>
        <v>0</v>
      </c>
      <c r="W44" s="49">
        <f t="shared" si="32"/>
        <v>0</v>
      </c>
      <c r="X44" s="49">
        <f t="shared" si="32"/>
        <v>0</v>
      </c>
      <c r="Y44" s="49">
        <f t="shared" si="32"/>
        <v>0</v>
      </c>
      <c r="Z44" s="49">
        <f t="shared" si="32"/>
        <v>0</v>
      </c>
    </row>
    <row r="45" spans="1:26" s="18" customFormat="1" x14ac:dyDescent="0.2">
      <c r="A45" s="16" t="s">
        <v>32</v>
      </c>
      <c r="B45" s="4">
        <f>SUM(C45:Z45)</f>
        <v>206211.8272529174</v>
      </c>
      <c r="C45" s="38">
        <f t="shared" ref="C45:Z45" si="33">C16+C22+C41+C31+C32</f>
        <v>0</v>
      </c>
      <c r="D45" s="38">
        <f t="shared" si="33"/>
        <v>0</v>
      </c>
      <c r="E45" s="38">
        <f t="shared" si="33"/>
        <v>0</v>
      </c>
      <c r="F45" s="38">
        <f t="shared" si="33"/>
        <v>0</v>
      </c>
      <c r="G45" s="38">
        <f t="shared" si="33"/>
        <v>0</v>
      </c>
      <c r="H45" s="38">
        <f t="shared" si="33"/>
        <v>0</v>
      </c>
      <c r="I45" s="38">
        <f t="shared" si="33"/>
        <v>0</v>
      </c>
      <c r="J45" s="38">
        <f t="shared" si="33"/>
        <v>0</v>
      </c>
      <c r="K45" s="38">
        <f t="shared" si="33"/>
        <v>0</v>
      </c>
      <c r="L45" s="38">
        <f t="shared" si="33"/>
        <v>-94265.416390119601</v>
      </c>
      <c r="M45" s="38">
        <f t="shared" si="33"/>
        <v>-91346.3462648563</v>
      </c>
      <c r="N45" s="38">
        <f t="shared" si="33"/>
        <v>-92678.566136747453</v>
      </c>
      <c r="O45" s="38">
        <f t="shared" si="33"/>
        <v>-94022.684132779454</v>
      </c>
      <c r="P45" s="38">
        <f t="shared" si="33"/>
        <v>-95378.516040171045</v>
      </c>
      <c r="Q45" s="38">
        <f t="shared" si="33"/>
        <v>480501.11143475695</v>
      </c>
      <c r="R45" s="38">
        <f t="shared" si="33"/>
        <v>54678.266716175858</v>
      </c>
      <c r="S45" s="38">
        <f t="shared" si="33"/>
        <v>68845.646683205196</v>
      </c>
      <c r="T45" s="38">
        <f t="shared" si="33"/>
        <v>69878.331383453275</v>
      </c>
      <c r="U45" s="38">
        <f t="shared" si="33"/>
        <v>0</v>
      </c>
      <c r="V45" s="38">
        <f t="shared" si="33"/>
        <v>0</v>
      </c>
      <c r="W45" s="38">
        <f t="shared" si="33"/>
        <v>0</v>
      </c>
      <c r="X45" s="38">
        <f t="shared" si="33"/>
        <v>0</v>
      </c>
      <c r="Y45" s="38">
        <f t="shared" si="33"/>
        <v>0</v>
      </c>
      <c r="Z45" s="38">
        <f t="shared" si="33"/>
        <v>0</v>
      </c>
    </row>
    <row r="46" spans="1:26" x14ac:dyDescent="0.2">
      <c r="A46" s="15" t="s">
        <v>50</v>
      </c>
      <c r="B46" s="19">
        <f>IFERROR(IRR(C45:Z45)*4,0)</f>
        <v>0.42268988088055615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x14ac:dyDescent="0.2">
      <c r="A47" s="21"/>
      <c r="B47" s="56"/>
      <c r="C47" s="56"/>
      <c r="D47" s="56"/>
      <c r="E47" s="56"/>
      <c r="F47" s="56"/>
      <c r="G47" s="57"/>
      <c r="H47" s="57"/>
      <c r="I47" s="57"/>
      <c r="J47" s="58"/>
      <c r="K47" s="58"/>
      <c r="L47" s="58"/>
      <c r="M47" s="58"/>
      <c r="N47" s="58"/>
      <c r="O47" s="58"/>
      <c r="P47" s="58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x14ac:dyDescent="0.2">
      <c r="A48" s="9" t="s">
        <v>51</v>
      </c>
      <c r="B48" s="4">
        <f>SUM(C48:Z48)</f>
        <v>754355.14895037422</v>
      </c>
      <c r="C48" s="38">
        <f t="shared" ref="C48:Z48" si="34">C17+C18</f>
        <v>0</v>
      </c>
      <c r="D48" s="38">
        <f t="shared" si="34"/>
        <v>0</v>
      </c>
      <c r="E48" s="38">
        <f t="shared" si="34"/>
        <v>0</v>
      </c>
      <c r="F48" s="38">
        <f t="shared" si="34"/>
        <v>0</v>
      </c>
      <c r="G48" s="38">
        <f t="shared" si="34"/>
        <v>0</v>
      </c>
      <c r="H48" s="38">
        <f t="shared" si="34"/>
        <v>0</v>
      </c>
      <c r="I48" s="38">
        <f t="shared" si="34"/>
        <v>0</v>
      </c>
      <c r="J48" s="38">
        <f t="shared" si="34"/>
        <v>0</v>
      </c>
      <c r="K48" s="38">
        <f t="shared" si="34"/>
        <v>0</v>
      </c>
      <c r="L48" s="38">
        <f t="shared" si="34"/>
        <v>77220.12273475487</v>
      </c>
      <c r="M48" s="38">
        <f t="shared" si="34"/>
        <v>78957.575496286852</v>
      </c>
      <c r="N48" s="38">
        <f t="shared" si="34"/>
        <v>80734.120944953305</v>
      </c>
      <c r="O48" s="38">
        <f t="shared" si="34"/>
        <v>82550.638666214756</v>
      </c>
      <c r="P48" s="38">
        <f t="shared" si="34"/>
        <v>84408.028036204589</v>
      </c>
      <c r="Q48" s="38">
        <f t="shared" si="34"/>
        <v>85674.148456747658</v>
      </c>
      <c r="R48" s="38">
        <f t="shared" si="34"/>
        <v>86959.260683598855</v>
      </c>
      <c r="S48" s="38">
        <f t="shared" si="34"/>
        <v>88263.649593852824</v>
      </c>
      <c r="T48" s="38">
        <f t="shared" si="34"/>
        <v>89587.604337760597</v>
      </c>
      <c r="U48" s="38">
        <f t="shared" si="34"/>
        <v>0</v>
      </c>
      <c r="V48" s="38">
        <f t="shared" si="34"/>
        <v>0</v>
      </c>
      <c r="W48" s="38">
        <f t="shared" si="34"/>
        <v>0</v>
      </c>
      <c r="X48" s="38">
        <f t="shared" si="34"/>
        <v>0</v>
      </c>
      <c r="Y48" s="38">
        <f t="shared" si="34"/>
        <v>0</v>
      </c>
      <c r="Z48" s="38">
        <f t="shared" si="34"/>
        <v>0</v>
      </c>
    </row>
    <row r="49" spans="1:26" x14ac:dyDescent="0.2">
      <c r="A49" s="9" t="s">
        <v>6</v>
      </c>
      <c r="B49" s="4">
        <f>SUM(C49:Z49)</f>
        <v>-488257.98509781511</v>
      </c>
      <c r="C49" s="38">
        <f t="shared" ref="C49:V49" si="35">C23+C25+C27+C28+C29</f>
        <v>0</v>
      </c>
      <c r="D49" s="38">
        <f t="shared" si="35"/>
        <v>0</v>
      </c>
      <c r="E49" s="38">
        <f t="shared" si="35"/>
        <v>0</v>
      </c>
      <c r="F49" s="38">
        <f t="shared" si="35"/>
        <v>0</v>
      </c>
      <c r="G49" s="38">
        <f t="shared" si="35"/>
        <v>0</v>
      </c>
      <c r="H49" s="38">
        <f t="shared" si="35"/>
        <v>0</v>
      </c>
      <c r="I49" s="38">
        <f t="shared" si="35"/>
        <v>0</v>
      </c>
      <c r="J49" s="38">
        <f t="shared" si="35"/>
        <v>-11434.744884375001</v>
      </c>
      <c r="K49" s="38">
        <f t="shared" si="35"/>
        <v>-11434.744884375001</v>
      </c>
      <c r="L49" s="38">
        <f t="shared" si="35"/>
        <v>-92118.304788525013</v>
      </c>
      <c r="M49" s="38">
        <f t="shared" si="35"/>
        <v>-89164.485608031071</v>
      </c>
      <c r="N49" s="38">
        <f t="shared" si="35"/>
        <v>-90461.17457094889</v>
      </c>
      <c r="O49" s="38">
        <f t="shared" si="35"/>
        <v>-91768.962212555663</v>
      </c>
      <c r="P49" s="38">
        <f t="shared" si="35"/>
        <v>-93087.646332547461</v>
      </c>
      <c r="Q49" s="38">
        <f t="shared" si="35"/>
        <v>-6643.9071506366681</v>
      </c>
      <c r="R49" s="38">
        <f t="shared" si="35"/>
        <v>-2144.014665820313</v>
      </c>
      <c r="S49" s="38">
        <f t="shared" si="35"/>
        <v>0</v>
      </c>
      <c r="T49" s="38">
        <f t="shared" si="35"/>
        <v>0</v>
      </c>
      <c r="U49" s="38">
        <f t="shared" si="35"/>
        <v>0</v>
      </c>
      <c r="V49" s="38">
        <f t="shared" si="35"/>
        <v>0</v>
      </c>
      <c r="W49" s="38">
        <f>W23+W25+W27</f>
        <v>0</v>
      </c>
      <c r="X49" s="38">
        <f>X23+X25+X27</f>
        <v>0</v>
      </c>
      <c r="Y49" s="38">
        <f>Y23+Y25+Y27</f>
        <v>0</v>
      </c>
      <c r="Z49" s="38">
        <f>Z23+Z25+Z27</f>
        <v>0</v>
      </c>
    </row>
    <row r="50" spans="1:26" x14ac:dyDescent="0.2">
      <c r="A50" s="9" t="s">
        <v>7</v>
      </c>
      <c r="B50" s="4">
        <f>SUM(C50:Z50)</f>
        <v>266097.16385255923</v>
      </c>
      <c r="C50" s="38">
        <f t="shared" ref="C50:Z50" si="36">C48+C49</f>
        <v>0</v>
      </c>
      <c r="D50" s="38">
        <f t="shared" si="36"/>
        <v>0</v>
      </c>
      <c r="E50" s="38">
        <f t="shared" si="36"/>
        <v>0</v>
      </c>
      <c r="F50" s="38">
        <f t="shared" si="36"/>
        <v>0</v>
      </c>
      <c r="G50" s="38">
        <f t="shared" si="36"/>
        <v>0</v>
      </c>
      <c r="H50" s="38">
        <f t="shared" si="36"/>
        <v>0</v>
      </c>
      <c r="I50" s="38">
        <f t="shared" si="36"/>
        <v>0</v>
      </c>
      <c r="J50" s="38">
        <f t="shared" si="36"/>
        <v>-11434.744884375001</v>
      </c>
      <c r="K50" s="38">
        <f t="shared" si="36"/>
        <v>-11434.744884375001</v>
      </c>
      <c r="L50" s="38">
        <f t="shared" si="36"/>
        <v>-14898.182053770142</v>
      </c>
      <c r="M50" s="38">
        <f t="shared" si="36"/>
        <v>-10206.910111744219</v>
      </c>
      <c r="N50" s="38">
        <f t="shared" si="36"/>
        <v>-9727.0536259955843</v>
      </c>
      <c r="O50" s="38">
        <f t="shared" si="36"/>
        <v>-9218.3235463409073</v>
      </c>
      <c r="P50" s="38">
        <f t="shared" si="36"/>
        <v>-8679.6182963428728</v>
      </c>
      <c r="Q50" s="38">
        <f t="shared" si="36"/>
        <v>79030.241306110984</v>
      </c>
      <c r="R50" s="38">
        <f t="shared" si="36"/>
        <v>84815.24601777854</v>
      </c>
      <c r="S50" s="38">
        <f t="shared" si="36"/>
        <v>88263.649593852824</v>
      </c>
      <c r="T50" s="38">
        <f t="shared" si="36"/>
        <v>89587.604337760597</v>
      </c>
      <c r="U50" s="38">
        <f t="shared" si="36"/>
        <v>0</v>
      </c>
      <c r="V50" s="38">
        <f t="shared" si="36"/>
        <v>0</v>
      </c>
      <c r="W50" s="38">
        <f t="shared" si="36"/>
        <v>0</v>
      </c>
      <c r="X50" s="38">
        <f t="shared" si="36"/>
        <v>0</v>
      </c>
      <c r="Y50" s="38">
        <f t="shared" si="36"/>
        <v>0</v>
      </c>
      <c r="Z50" s="38">
        <f t="shared" si="36"/>
        <v>0</v>
      </c>
    </row>
    <row r="51" spans="1:26" x14ac:dyDescent="0.2">
      <c r="A51" s="9" t="s">
        <v>8</v>
      </c>
      <c r="B51" s="4"/>
      <c r="C51" s="38">
        <f t="shared" ref="C51:Z51" si="37">B51+C50</f>
        <v>0</v>
      </c>
      <c r="D51" s="38">
        <f t="shared" si="37"/>
        <v>0</v>
      </c>
      <c r="E51" s="38">
        <f t="shared" si="37"/>
        <v>0</v>
      </c>
      <c r="F51" s="38">
        <f t="shared" si="37"/>
        <v>0</v>
      </c>
      <c r="G51" s="38">
        <f t="shared" si="37"/>
        <v>0</v>
      </c>
      <c r="H51" s="38">
        <f t="shared" si="37"/>
        <v>0</v>
      </c>
      <c r="I51" s="38">
        <f t="shared" si="37"/>
        <v>0</v>
      </c>
      <c r="J51" s="38">
        <f t="shared" si="37"/>
        <v>-11434.744884375001</v>
      </c>
      <c r="K51" s="38">
        <f t="shared" si="37"/>
        <v>-22869.489768750002</v>
      </c>
      <c r="L51" s="38">
        <f t="shared" si="37"/>
        <v>-37767.671822520148</v>
      </c>
      <c r="M51" s="38">
        <f t="shared" si="37"/>
        <v>-47974.581934264366</v>
      </c>
      <c r="N51" s="38">
        <f t="shared" si="37"/>
        <v>-57701.635560259951</v>
      </c>
      <c r="O51" s="38">
        <f t="shared" si="37"/>
        <v>-66919.959106600858</v>
      </c>
      <c r="P51" s="38">
        <f t="shared" si="37"/>
        <v>-75599.577402943731</v>
      </c>
      <c r="Q51" s="38">
        <f t="shared" si="37"/>
        <v>3430.663903167253</v>
      </c>
      <c r="R51" s="38">
        <f t="shared" si="37"/>
        <v>88245.909920945793</v>
      </c>
      <c r="S51" s="38">
        <f t="shared" si="37"/>
        <v>176509.55951479863</v>
      </c>
      <c r="T51" s="38">
        <f t="shared" si="37"/>
        <v>266097.16385255923</v>
      </c>
      <c r="U51" s="38">
        <f t="shared" si="37"/>
        <v>266097.16385255923</v>
      </c>
      <c r="V51" s="38">
        <f t="shared" si="37"/>
        <v>266097.16385255923</v>
      </c>
      <c r="W51" s="38">
        <f t="shared" si="37"/>
        <v>266097.16385255923</v>
      </c>
      <c r="X51" s="38">
        <f t="shared" si="37"/>
        <v>266097.16385255923</v>
      </c>
      <c r="Y51" s="38">
        <f t="shared" si="37"/>
        <v>266097.16385255923</v>
      </c>
      <c r="Z51" s="38">
        <f t="shared" si="37"/>
        <v>266097.16385255923</v>
      </c>
    </row>
    <row r="52" spans="1:26" x14ac:dyDescent="0.2">
      <c r="A52" s="9" t="s">
        <v>9</v>
      </c>
      <c r="B52" s="4">
        <f>SUM(C52:Z52)</f>
        <v>266097.16385255923</v>
      </c>
      <c r="C52" s="38">
        <f t="shared" ref="C52:Z52" si="38">MAX(MIN(C51,C50),0)</f>
        <v>0</v>
      </c>
      <c r="D52" s="38">
        <f t="shared" si="38"/>
        <v>0</v>
      </c>
      <c r="E52" s="38">
        <f t="shared" si="38"/>
        <v>0</v>
      </c>
      <c r="F52" s="38">
        <f t="shared" si="38"/>
        <v>0</v>
      </c>
      <c r="G52" s="38">
        <f t="shared" si="38"/>
        <v>0</v>
      </c>
      <c r="H52" s="38">
        <f t="shared" si="38"/>
        <v>0</v>
      </c>
      <c r="I52" s="38">
        <f t="shared" si="38"/>
        <v>0</v>
      </c>
      <c r="J52" s="38">
        <f t="shared" si="38"/>
        <v>0</v>
      </c>
      <c r="K52" s="38">
        <f t="shared" si="38"/>
        <v>0</v>
      </c>
      <c r="L52" s="38">
        <f t="shared" si="38"/>
        <v>0</v>
      </c>
      <c r="M52" s="38">
        <f t="shared" si="38"/>
        <v>0</v>
      </c>
      <c r="N52" s="38">
        <f t="shared" si="38"/>
        <v>0</v>
      </c>
      <c r="O52" s="38">
        <f t="shared" si="38"/>
        <v>0</v>
      </c>
      <c r="P52" s="38">
        <f t="shared" si="38"/>
        <v>0</v>
      </c>
      <c r="Q52" s="38">
        <f t="shared" si="38"/>
        <v>3430.663903167253</v>
      </c>
      <c r="R52" s="38">
        <f t="shared" si="38"/>
        <v>84815.24601777854</v>
      </c>
      <c r="S52" s="38">
        <f t="shared" si="38"/>
        <v>88263.649593852824</v>
      </c>
      <c r="T52" s="38">
        <f t="shared" si="38"/>
        <v>89587.604337760597</v>
      </c>
      <c r="U52" s="38">
        <f t="shared" si="38"/>
        <v>0</v>
      </c>
      <c r="V52" s="38">
        <f t="shared" si="38"/>
        <v>0</v>
      </c>
      <c r="W52" s="38">
        <f t="shared" si="38"/>
        <v>0</v>
      </c>
      <c r="X52" s="38">
        <f t="shared" si="38"/>
        <v>0</v>
      </c>
      <c r="Y52" s="38">
        <f t="shared" si="38"/>
        <v>0</v>
      </c>
      <c r="Z52" s="38">
        <f t="shared" si="38"/>
        <v>0</v>
      </c>
    </row>
    <row r="53" spans="1:26" x14ac:dyDescent="0.2">
      <c r="A53" s="9" t="s">
        <v>10</v>
      </c>
      <c r="B53" s="4">
        <f>SUM(C53:Z53)</f>
        <v>-53219.432770511841</v>
      </c>
      <c r="C53" s="38">
        <f t="shared" ref="C53:Q53" si="39">-C52*0.2</f>
        <v>0</v>
      </c>
      <c r="D53" s="38">
        <f t="shared" si="39"/>
        <v>0</v>
      </c>
      <c r="E53" s="38">
        <f t="shared" si="39"/>
        <v>0</v>
      </c>
      <c r="F53" s="38">
        <f t="shared" si="39"/>
        <v>0</v>
      </c>
      <c r="G53" s="38">
        <f t="shared" si="39"/>
        <v>0</v>
      </c>
      <c r="H53" s="38">
        <f t="shared" si="39"/>
        <v>0</v>
      </c>
      <c r="I53" s="38">
        <f t="shared" si="39"/>
        <v>0</v>
      </c>
      <c r="J53" s="38">
        <f t="shared" si="39"/>
        <v>0</v>
      </c>
      <c r="K53" s="38">
        <f t="shared" si="39"/>
        <v>0</v>
      </c>
      <c r="L53" s="38">
        <f t="shared" si="39"/>
        <v>0</v>
      </c>
      <c r="M53" s="38">
        <f t="shared" si="39"/>
        <v>0</v>
      </c>
      <c r="N53" s="38">
        <f t="shared" si="39"/>
        <v>0</v>
      </c>
      <c r="O53" s="38">
        <f>-O52*0.2</f>
        <v>0</v>
      </c>
      <c r="P53" s="38">
        <f t="shared" si="39"/>
        <v>0</v>
      </c>
      <c r="Q53" s="38">
        <f t="shared" si="39"/>
        <v>-686.13278063345069</v>
      </c>
      <c r="R53" s="38">
        <f>-R52*0.2</f>
        <v>-16963.049203555707</v>
      </c>
      <c r="S53" s="38">
        <f t="shared" ref="S53:Z53" si="40">-S52*0.2</f>
        <v>-17652.729918770565</v>
      </c>
      <c r="T53" s="38">
        <f t="shared" si="40"/>
        <v>-17917.520867552121</v>
      </c>
      <c r="U53" s="38">
        <f t="shared" si="40"/>
        <v>0</v>
      </c>
      <c r="V53" s="38">
        <f t="shared" si="40"/>
        <v>0</v>
      </c>
      <c r="W53" s="38">
        <f t="shared" si="40"/>
        <v>0</v>
      </c>
      <c r="X53" s="38">
        <f t="shared" si="40"/>
        <v>0</v>
      </c>
      <c r="Y53" s="38">
        <f t="shared" si="40"/>
        <v>0</v>
      </c>
      <c r="Z53" s="38">
        <f t="shared" si="40"/>
        <v>0</v>
      </c>
    </row>
    <row r="54" spans="1:26" x14ac:dyDescent="0.2">
      <c r="A54" s="9" t="s">
        <v>11</v>
      </c>
      <c r="B54" s="4">
        <f>SUM(C54:Z54)</f>
        <v>212877.73108204736</v>
      </c>
      <c r="C54" s="38">
        <f t="shared" ref="C54:Z54" si="41">C50+C53</f>
        <v>0</v>
      </c>
      <c r="D54" s="38">
        <f t="shared" si="41"/>
        <v>0</v>
      </c>
      <c r="E54" s="38">
        <f t="shared" si="41"/>
        <v>0</v>
      </c>
      <c r="F54" s="38">
        <f t="shared" si="41"/>
        <v>0</v>
      </c>
      <c r="G54" s="38">
        <f t="shared" si="41"/>
        <v>0</v>
      </c>
      <c r="H54" s="38">
        <f t="shared" si="41"/>
        <v>0</v>
      </c>
      <c r="I54" s="38">
        <f t="shared" si="41"/>
        <v>0</v>
      </c>
      <c r="J54" s="38">
        <f t="shared" si="41"/>
        <v>-11434.744884375001</v>
      </c>
      <c r="K54" s="38">
        <f t="shared" si="41"/>
        <v>-11434.744884375001</v>
      </c>
      <c r="L54" s="38">
        <f t="shared" si="41"/>
        <v>-14898.182053770142</v>
      </c>
      <c r="M54" s="38">
        <f t="shared" si="41"/>
        <v>-10206.910111744219</v>
      </c>
      <c r="N54" s="38">
        <f t="shared" si="41"/>
        <v>-9727.0536259955843</v>
      </c>
      <c r="O54" s="38">
        <f t="shared" si="41"/>
        <v>-9218.3235463409073</v>
      </c>
      <c r="P54" s="38">
        <f t="shared" si="41"/>
        <v>-8679.6182963428728</v>
      </c>
      <c r="Q54" s="38">
        <f t="shared" si="41"/>
        <v>78344.108525477539</v>
      </c>
      <c r="R54" s="38">
        <f t="shared" si="41"/>
        <v>67852.196814222829</v>
      </c>
      <c r="S54" s="38">
        <f t="shared" si="41"/>
        <v>70610.919675082259</v>
      </c>
      <c r="T54" s="38">
        <f t="shared" si="41"/>
        <v>71670.083470208483</v>
      </c>
      <c r="U54" s="38">
        <f t="shared" si="41"/>
        <v>0</v>
      </c>
      <c r="V54" s="38">
        <f t="shared" si="41"/>
        <v>0</v>
      </c>
      <c r="W54" s="38">
        <f t="shared" si="41"/>
        <v>0</v>
      </c>
      <c r="X54" s="38">
        <f t="shared" si="41"/>
        <v>0</v>
      </c>
      <c r="Y54" s="38">
        <f t="shared" si="41"/>
        <v>0</v>
      </c>
      <c r="Z54" s="38">
        <f t="shared" si="41"/>
        <v>0</v>
      </c>
    </row>
    <row r="55" spans="1:26" x14ac:dyDescent="0.2">
      <c r="A55" s="9" t="s">
        <v>8</v>
      </c>
      <c r="B55" s="4"/>
      <c r="C55" s="38">
        <f t="shared" ref="C55:Z55" si="42">B55+C54</f>
        <v>0</v>
      </c>
      <c r="D55" s="38">
        <f t="shared" si="42"/>
        <v>0</v>
      </c>
      <c r="E55" s="38">
        <f t="shared" si="42"/>
        <v>0</v>
      </c>
      <c r="F55" s="38">
        <f t="shared" si="42"/>
        <v>0</v>
      </c>
      <c r="G55" s="38">
        <f t="shared" si="42"/>
        <v>0</v>
      </c>
      <c r="H55" s="38">
        <f t="shared" si="42"/>
        <v>0</v>
      </c>
      <c r="I55" s="38">
        <f t="shared" si="42"/>
        <v>0</v>
      </c>
      <c r="J55" s="38">
        <f t="shared" si="42"/>
        <v>-11434.744884375001</v>
      </c>
      <c r="K55" s="38">
        <f t="shared" si="42"/>
        <v>-22869.489768750002</v>
      </c>
      <c r="L55" s="38">
        <f t="shared" si="42"/>
        <v>-37767.671822520148</v>
      </c>
      <c r="M55" s="38">
        <f t="shared" si="42"/>
        <v>-47974.581934264366</v>
      </c>
      <c r="N55" s="38">
        <f t="shared" si="42"/>
        <v>-57701.635560259951</v>
      </c>
      <c r="O55" s="38">
        <f t="shared" si="42"/>
        <v>-66919.959106600858</v>
      </c>
      <c r="P55" s="38">
        <f t="shared" si="42"/>
        <v>-75599.577402943731</v>
      </c>
      <c r="Q55" s="38">
        <f t="shared" si="42"/>
        <v>2744.5311225338082</v>
      </c>
      <c r="R55" s="38">
        <f t="shared" si="42"/>
        <v>70596.727936756637</v>
      </c>
      <c r="S55" s="38">
        <f t="shared" si="42"/>
        <v>141207.64761183888</v>
      </c>
      <c r="T55" s="38">
        <f t="shared" si="42"/>
        <v>212877.73108204736</v>
      </c>
      <c r="U55" s="38">
        <f t="shared" si="42"/>
        <v>212877.73108204736</v>
      </c>
      <c r="V55" s="38">
        <f t="shared" si="42"/>
        <v>212877.73108204736</v>
      </c>
      <c r="W55" s="38">
        <f t="shared" si="42"/>
        <v>212877.73108204736</v>
      </c>
      <c r="X55" s="38">
        <f t="shared" si="42"/>
        <v>212877.73108204736</v>
      </c>
      <c r="Y55" s="38">
        <f t="shared" si="42"/>
        <v>212877.73108204736</v>
      </c>
      <c r="Z55" s="38">
        <f t="shared" si="42"/>
        <v>212877.73108204736</v>
      </c>
    </row>
    <row r="56" spans="1:26" x14ac:dyDescent="0.2">
      <c r="A56" s="21"/>
      <c r="B56" s="22">
        <f>IFERROR(B53/B52,0)</f>
        <v>-0.19999999999999998</v>
      </c>
      <c r="C56" s="22"/>
      <c r="D56" s="22"/>
      <c r="E56" s="22"/>
      <c r="F56" s="22"/>
      <c r="G56" s="23"/>
      <c r="H56" s="23"/>
      <c r="I56" s="23"/>
      <c r="J56" s="24"/>
      <c r="K56" s="24"/>
      <c r="L56" s="24"/>
      <c r="M56" s="24"/>
      <c r="N56" s="24"/>
      <c r="O56" s="24"/>
      <c r="P56" s="24"/>
    </row>
    <row r="57" spans="1:26" hidden="1" x14ac:dyDescent="0.2"/>
    <row r="58" spans="1:26" hidden="1" x14ac:dyDescent="0.2"/>
    <row r="59" spans="1:26" x14ac:dyDescent="0.2"/>
    <row r="60" spans="1:26" x14ac:dyDescent="0.2"/>
  </sheetData>
  <mergeCells count="6">
    <mergeCell ref="W10:Z10"/>
    <mergeCell ref="C10:F10"/>
    <mergeCell ref="G10:J10"/>
    <mergeCell ref="K10:N10"/>
    <mergeCell ref="O10:R10"/>
    <mergeCell ref="S10:V10"/>
  </mergeCells>
  <conditionalFormatting sqref="B33:Z33">
    <cfRule type="cellIs" dxfId="113" priority="41" operator="equal">
      <formula>0</formula>
    </cfRule>
  </conditionalFormatting>
  <conditionalFormatting sqref="W23:Z23">
    <cfRule type="cellIs" dxfId="112" priority="40" operator="equal">
      <formula>0</formula>
    </cfRule>
  </conditionalFormatting>
  <conditionalFormatting sqref="W25:Z25">
    <cfRule type="cellIs" dxfId="111" priority="39" operator="equal">
      <formula>0</formula>
    </cfRule>
  </conditionalFormatting>
  <conditionalFormatting sqref="W26:Z26">
    <cfRule type="cellIs" dxfId="110" priority="38" operator="equal">
      <formula>0</formula>
    </cfRule>
  </conditionalFormatting>
  <conditionalFormatting sqref="B31:Z31">
    <cfRule type="cellIs" dxfId="109" priority="52" operator="equal">
      <formula>0</formula>
    </cfRule>
  </conditionalFormatting>
  <conditionalFormatting sqref="B32:Z32">
    <cfRule type="cellIs" dxfId="108" priority="51" operator="equal">
      <formula>0</formula>
    </cfRule>
  </conditionalFormatting>
  <conditionalFormatting sqref="B35:Z35">
    <cfRule type="cellIs" dxfId="107" priority="50" operator="equal">
      <formula>0</formula>
    </cfRule>
  </conditionalFormatting>
  <conditionalFormatting sqref="B36:Z36">
    <cfRule type="cellIs" dxfId="106" priority="49" operator="equal">
      <formula>0</formula>
    </cfRule>
  </conditionalFormatting>
  <conditionalFormatting sqref="B37:Z37">
    <cfRule type="cellIs" dxfId="105" priority="48" operator="equal">
      <formula>0</formula>
    </cfRule>
  </conditionalFormatting>
  <conditionalFormatting sqref="B38:Z38 W39:Z39">
    <cfRule type="cellIs" dxfId="104" priority="47" operator="equal">
      <formula>0</formula>
    </cfRule>
  </conditionalFormatting>
  <conditionalFormatting sqref="B41:Z41">
    <cfRule type="cellIs" dxfId="103" priority="46" operator="equal">
      <formula>0</formula>
    </cfRule>
  </conditionalFormatting>
  <conditionalFormatting sqref="B43:Z43">
    <cfRule type="cellIs" dxfId="102" priority="45" operator="equal">
      <formula>0</formula>
    </cfRule>
  </conditionalFormatting>
  <conditionalFormatting sqref="B45:Z45">
    <cfRule type="cellIs" dxfId="101" priority="44" operator="equal">
      <formula>0</formula>
    </cfRule>
  </conditionalFormatting>
  <conditionalFormatting sqref="B46:Z46">
    <cfRule type="cellIs" dxfId="100" priority="43" operator="equal">
      <formula>0</formula>
    </cfRule>
  </conditionalFormatting>
  <conditionalFormatting sqref="B48:Z48 B50:Z55 W49:Z49">
    <cfRule type="cellIs" dxfId="99" priority="42" operator="equal">
      <formula>0</formula>
    </cfRule>
  </conditionalFormatting>
  <conditionalFormatting sqref="B17:Z17 B19:Z21 B18:F18">
    <cfRule type="cellIs" dxfId="98" priority="53" operator="equal">
      <formula>0</formula>
    </cfRule>
  </conditionalFormatting>
  <conditionalFormatting sqref="W27:Z29">
    <cfRule type="cellIs" dxfId="97" priority="37" operator="equal">
      <formula>0</formula>
    </cfRule>
  </conditionalFormatting>
  <conditionalFormatting sqref="C18:Z18">
    <cfRule type="cellIs" dxfId="96" priority="36" operator="equal">
      <formula>0</formula>
    </cfRule>
  </conditionalFormatting>
  <conditionalFormatting sqref="B39:V39">
    <cfRule type="cellIs" dxfId="95" priority="35" operator="equal">
      <formula>0</formula>
    </cfRule>
  </conditionalFormatting>
  <conditionalFormatting sqref="B23:F23">
    <cfRule type="cellIs" dxfId="94" priority="34" operator="equal">
      <formula>0</formula>
    </cfRule>
  </conditionalFormatting>
  <conditionalFormatting sqref="B25:F25">
    <cfRule type="cellIs" dxfId="93" priority="33" operator="equal">
      <formula>0</formula>
    </cfRule>
  </conditionalFormatting>
  <conditionalFormatting sqref="B26:F26">
    <cfRule type="cellIs" dxfId="92" priority="32" operator="equal">
      <formula>0</formula>
    </cfRule>
  </conditionalFormatting>
  <conditionalFormatting sqref="B27:F27 B28:C28 B29">
    <cfRule type="cellIs" dxfId="91" priority="31" operator="equal">
      <formula>0</formula>
    </cfRule>
  </conditionalFormatting>
  <conditionalFormatting sqref="G23:V23">
    <cfRule type="cellIs" dxfId="90" priority="30" operator="equal">
      <formula>0</formula>
    </cfRule>
  </conditionalFormatting>
  <conditionalFormatting sqref="C25:V25">
    <cfRule type="cellIs" dxfId="89" priority="29" operator="equal">
      <formula>0</formula>
    </cfRule>
  </conditionalFormatting>
  <conditionalFormatting sqref="G26:V26">
    <cfRule type="cellIs" dxfId="88" priority="28" operator="equal">
      <formula>0</formula>
    </cfRule>
  </conditionalFormatting>
  <conditionalFormatting sqref="G27:V27 D28:V29">
    <cfRule type="cellIs" dxfId="87" priority="27" operator="equal">
      <formula>0</formula>
    </cfRule>
  </conditionalFormatting>
  <conditionalFormatting sqref="C29">
    <cfRule type="cellIs" dxfId="86" priority="23" operator="equal">
      <formula>0</formula>
    </cfRule>
  </conditionalFormatting>
  <conditionalFormatting sqref="F29">
    <cfRule type="cellIs" dxfId="85" priority="26" operator="equal">
      <formula>0</formula>
    </cfRule>
  </conditionalFormatting>
  <conditionalFormatting sqref="E29">
    <cfRule type="cellIs" dxfId="84" priority="25" operator="equal">
      <formula>0</formula>
    </cfRule>
  </conditionalFormatting>
  <conditionalFormatting sqref="D29">
    <cfRule type="cellIs" dxfId="83" priority="24" operator="equal">
      <formula>0</formula>
    </cfRule>
  </conditionalFormatting>
  <conditionalFormatting sqref="D28">
    <cfRule type="cellIs" dxfId="82" priority="20" operator="equal">
      <formula>0</formula>
    </cfRule>
  </conditionalFormatting>
  <conditionalFormatting sqref="F28">
    <cfRule type="cellIs" dxfId="81" priority="22" operator="equal">
      <formula>0</formula>
    </cfRule>
  </conditionalFormatting>
  <conditionalFormatting sqref="E28">
    <cfRule type="cellIs" dxfId="80" priority="21" operator="equal">
      <formula>0</formula>
    </cfRule>
  </conditionalFormatting>
  <conditionalFormatting sqref="B49:V49">
    <cfRule type="cellIs" dxfId="79" priority="19" operator="equal">
      <formula>0</formula>
    </cfRule>
  </conditionalFormatting>
  <conditionalFormatting sqref="B24">
    <cfRule type="cellIs" dxfId="78" priority="18" operator="equal">
      <formula>0</formula>
    </cfRule>
  </conditionalFormatting>
  <conditionalFormatting sqref="S24:Z24">
    <cfRule type="cellIs" dxfId="77" priority="17" operator="equal">
      <formula>0</formula>
    </cfRule>
  </conditionalFormatting>
  <conditionalFormatting sqref="S24:V24">
    <cfRule type="cellIs" dxfId="76" priority="16" operator="equal">
      <formula>0</formula>
    </cfRule>
  </conditionalFormatting>
  <conditionalFormatting sqref="S24:Z24">
    <cfRule type="cellIs" dxfId="75" priority="15" operator="equal">
      <formula>0</formula>
    </cfRule>
  </conditionalFormatting>
  <conditionalFormatting sqref="S24:Z24">
    <cfRule type="cellIs" dxfId="74" priority="14" operator="equal">
      <formula>0</formula>
    </cfRule>
  </conditionalFormatting>
  <conditionalFormatting sqref="S24:Z24">
    <cfRule type="cellIs" dxfId="73" priority="13" operator="equal">
      <formula>0</formula>
    </cfRule>
  </conditionalFormatting>
  <conditionalFormatting sqref="G24">
    <cfRule type="cellIs" dxfId="72" priority="8" operator="equal">
      <formula>0</formula>
    </cfRule>
  </conditionalFormatting>
  <conditionalFormatting sqref="H24">
    <cfRule type="cellIs" dxfId="71" priority="7" operator="equal">
      <formula>0</formula>
    </cfRule>
  </conditionalFormatting>
  <conditionalFormatting sqref="I24">
    <cfRule type="cellIs" dxfId="70" priority="6" operator="equal">
      <formula>0</formula>
    </cfRule>
  </conditionalFormatting>
  <conditionalFormatting sqref="J24">
    <cfRule type="cellIs" dxfId="69" priority="5" operator="equal">
      <formula>0</formula>
    </cfRule>
  </conditionalFormatting>
  <conditionalFormatting sqref="G24">
    <cfRule type="cellIs" dxfId="68" priority="4" operator="equal">
      <formula>0</formula>
    </cfRule>
  </conditionalFormatting>
  <conditionalFormatting sqref="F24">
    <cfRule type="cellIs" dxfId="67" priority="3" operator="equal">
      <formula>0</formula>
    </cfRule>
  </conditionalFormatting>
  <conditionalFormatting sqref="S24:Z24">
    <cfRule type="cellIs" dxfId="66" priority="12" operator="equal">
      <formula>0</formula>
    </cfRule>
  </conditionalFormatting>
  <conditionalFormatting sqref="C24:V24">
    <cfRule type="cellIs" dxfId="65" priority="11" operator="equal">
      <formula>0</formula>
    </cfRule>
  </conditionalFormatting>
  <conditionalFormatting sqref="C24:V24">
    <cfRule type="cellIs" dxfId="64" priority="10" operator="equal">
      <formula>0</formula>
    </cfRule>
  </conditionalFormatting>
  <conditionalFormatting sqref="C24:V24">
    <cfRule type="cellIs" dxfId="63" priority="9" operator="equal">
      <formula>0</formula>
    </cfRule>
  </conditionalFormatting>
  <conditionalFormatting sqref="C24:V24">
    <cfRule type="cellIs" dxfId="62" priority="2" operator="equal">
      <formula>0</formula>
    </cfRule>
  </conditionalFormatting>
  <conditionalFormatting sqref="C15:V15">
    <cfRule type="cellIs" dxfId="61" priority="1" operator="equal">
      <formula>0</formula>
    </cfRule>
  </conditionalFormatting>
  <pageMargins left="0.31496062992125984" right="0.31496062992125984" top="0.47244094488188981" bottom="0.39370078740157483" header="0.31496062992125984" footer="0.31496062992125984"/>
  <pageSetup paperSize="9"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60"/>
  <sheetViews>
    <sheetView zoomScale="70" zoomScaleNormal="70" zoomScaleSheetLayoutView="70" workbookViewId="0">
      <selection activeCell="G18" sqref="G18"/>
    </sheetView>
  </sheetViews>
  <sheetFormatPr defaultColWidth="0" defaultRowHeight="12.75" customHeight="1" zeroHeight="1" outlineLevelCol="1" x14ac:dyDescent="0.2"/>
  <cols>
    <col min="1" max="1" width="36.42578125" bestFit="1" customWidth="1"/>
    <col min="2" max="2" width="14.140625" style="7" customWidth="1"/>
    <col min="3" max="4" width="9.28515625" style="7" hidden="1" customWidth="1" outlineLevel="1"/>
    <col min="5" max="5" width="9.28515625" style="7" bestFit="1" customWidth="1" collapsed="1"/>
    <col min="6" max="6" width="9.28515625" style="7" bestFit="1" customWidth="1"/>
    <col min="7" max="8" width="9.28515625" style="12" bestFit="1" customWidth="1"/>
    <col min="9" max="9" width="9.28515625" style="12" customWidth="1"/>
    <col min="10" max="22" width="9.28515625" bestFit="1" customWidth="1"/>
    <col min="23" max="26" width="9.28515625" hidden="1" customWidth="1"/>
    <col min="27" max="16384" width="9.140625" hidden="1"/>
  </cols>
  <sheetData>
    <row r="1" spans="1:26" ht="20.25" x14ac:dyDescent="0.3">
      <c r="A1" s="33" t="s">
        <v>88</v>
      </c>
      <c r="Q1" s="156">
        <f>B24/B23</f>
        <v>3.9922872967251867E-2</v>
      </c>
      <c r="R1" s="155">
        <v>7.8983876305300082E-3</v>
      </c>
    </row>
    <row r="2" spans="1:26" x14ac:dyDescent="0.2">
      <c r="A2" s="50" t="s">
        <v>113</v>
      </c>
      <c r="B2" s="53"/>
      <c r="C2" s="53"/>
      <c r="D2" s="53"/>
      <c r="E2" s="53"/>
      <c r="F2" s="53"/>
      <c r="G2" s="68"/>
      <c r="H2" s="23"/>
      <c r="I2" s="23"/>
      <c r="J2" s="24"/>
    </row>
    <row r="3" spans="1:26" x14ac:dyDescent="0.2">
      <c r="A3" s="50"/>
      <c r="B3" s="53"/>
      <c r="C3" s="53"/>
      <c r="D3" s="53"/>
      <c r="E3" s="53"/>
      <c r="F3" s="53"/>
      <c r="G3" s="69"/>
      <c r="H3" s="31"/>
      <c r="J3" s="12"/>
    </row>
    <row r="4" spans="1:26" x14ac:dyDescent="0.2">
      <c r="A4" s="60" t="s">
        <v>56</v>
      </c>
      <c r="B4" s="55">
        <f>'Э3 (СЗ) (2)'!B4*(1+'ИДиР (2)'!B27/2)</f>
        <v>41.523626</v>
      </c>
      <c r="C4" s="53"/>
      <c r="D4" s="53"/>
      <c r="E4" s="53"/>
      <c r="F4" s="50"/>
      <c r="G4" s="96"/>
      <c r="H4"/>
      <c r="I4"/>
    </row>
    <row r="5" spans="1:26" x14ac:dyDescent="0.2">
      <c r="A5" s="60" t="s">
        <v>48</v>
      </c>
      <c r="B5" s="37">
        <f>'ИДиР (2)'!F7</f>
        <v>11345.625</v>
      </c>
      <c r="C5" s="53"/>
      <c r="D5" s="53"/>
      <c r="E5" s="53"/>
      <c r="F5" s="50"/>
      <c r="G5" s="50"/>
      <c r="H5"/>
      <c r="I5"/>
    </row>
    <row r="6" spans="1:26" x14ac:dyDescent="0.2">
      <c r="A6" s="60" t="s">
        <v>151</v>
      </c>
      <c r="B6" s="37">
        <f>B4*B5</f>
        <v>471111.48923625</v>
      </c>
      <c r="C6" s="53"/>
      <c r="D6" s="53"/>
      <c r="E6" s="53"/>
      <c r="F6" s="50"/>
      <c r="G6" s="50"/>
      <c r="H6"/>
      <c r="I6"/>
      <c r="N6" s="52"/>
    </row>
    <row r="7" spans="1:26" x14ac:dyDescent="0.2">
      <c r="A7" s="70" t="s">
        <v>149</v>
      </c>
      <c r="B7" s="71">
        <f>B6*'ИДиР (2)'!F11</f>
        <v>23555.574461812503</v>
      </c>
      <c r="C7" s="53"/>
      <c r="D7" s="53"/>
      <c r="E7" s="53"/>
      <c r="F7" s="72"/>
      <c r="G7" s="72"/>
      <c r="H7" s="52"/>
      <c r="I7" s="52"/>
      <c r="J7" s="52"/>
      <c r="K7" s="52"/>
      <c r="M7" s="52"/>
    </row>
    <row r="8" spans="1:26" x14ac:dyDescent="0.2">
      <c r="A8" s="60" t="s">
        <v>49</v>
      </c>
      <c r="B8" s="73">
        <f>'ИДиР (2)'!F13</f>
        <v>0.5</v>
      </c>
      <c r="C8" s="53"/>
      <c r="D8" s="53"/>
      <c r="E8" s="53"/>
      <c r="F8" s="50"/>
      <c r="G8" s="50"/>
      <c r="H8"/>
      <c r="M8" s="52"/>
    </row>
    <row r="9" spans="1:26" x14ac:dyDescent="0.2"/>
    <row r="10" spans="1:26" s="63" customFormat="1" ht="15" x14ac:dyDescent="0.25">
      <c r="A10" s="61" t="s">
        <v>59</v>
      </c>
      <c r="B10" s="62"/>
      <c r="C10" s="194">
        <v>2020</v>
      </c>
      <c r="D10" s="194"/>
      <c r="E10" s="194"/>
      <c r="F10" s="194"/>
      <c r="G10" s="194">
        <f>C10+1</f>
        <v>2021</v>
      </c>
      <c r="H10" s="194"/>
      <c r="I10" s="194"/>
      <c r="J10" s="194"/>
      <c r="K10" s="194">
        <f>G10+1</f>
        <v>2022</v>
      </c>
      <c r="L10" s="194"/>
      <c r="M10" s="194"/>
      <c r="N10" s="194"/>
      <c r="O10" s="194">
        <f>K10+1</f>
        <v>2023</v>
      </c>
      <c r="P10" s="194"/>
      <c r="Q10" s="194"/>
      <c r="R10" s="194"/>
      <c r="S10" s="194">
        <f>O10+1</f>
        <v>2024</v>
      </c>
      <c r="T10" s="194"/>
      <c r="U10" s="194"/>
      <c r="V10" s="194"/>
      <c r="W10" s="194">
        <f>S10+1</f>
        <v>2025</v>
      </c>
      <c r="X10" s="194"/>
      <c r="Y10" s="194"/>
      <c r="Z10" s="194"/>
    </row>
    <row r="11" spans="1:26" s="63" customFormat="1" ht="15" x14ac:dyDescent="0.25">
      <c r="A11" s="64" t="str">
        <f>A1</f>
        <v>Финансовая модель реализации проектов строительства жилья специализированным застройщиком</v>
      </c>
      <c r="B11" s="62"/>
      <c r="C11" s="62" t="s">
        <v>15</v>
      </c>
      <c r="D11" s="62" t="s">
        <v>16</v>
      </c>
      <c r="E11" s="62" t="s">
        <v>17</v>
      </c>
      <c r="F11" s="62" t="s">
        <v>18</v>
      </c>
      <c r="G11" s="62" t="s">
        <v>15</v>
      </c>
      <c r="H11" s="62" t="s">
        <v>16</v>
      </c>
      <c r="I11" s="62" t="s">
        <v>17</v>
      </c>
      <c r="J11" s="62" t="s">
        <v>18</v>
      </c>
      <c r="K11" s="62" t="s">
        <v>15</v>
      </c>
      <c r="L11" s="62" t="s">
        <v>16</v>
      </c>
      <c r="M11" s="62" t="s">
        <v>17</v>
      </c>
      <c r="N11" s="62" t="s">
        <v>18</v>
      </c>
      <c r="O11" s="62" t="s">
        <v>15</v>
      </c>
      <c r="P11" s="62" t="s">
        <v>16</v>
      </c>
      <c r="Q11" s="62" t="s">
        <v>17</v>
      </c>
      <c r="R11" s="62" t="s">
        <v>18</v>
      </c>
      <c r="S11" s="62" t="s">
        <v>15</v>
      </c>
      <c r="T11" s="62" t="s">
        <v>16</v>
      </c>
      <c r="U11" s="62" t="s">
        <v>17</v>
      </c>
      <c r="V11" s="62" t="s">
        <v>18</v>
      </c>
      <c r="W11" s="62" t="s">
        <v>15</v>
      </c>
      <c r="X11" s="62" t="s">
        <v>16</v>
      </c>
      <c r="Y11" s="62" t="s">
        <v>17</v>
      </c>
      <c r="Z11" s="62" t="s">
        <v>18</v>
      </c>
    </row>
    <row r="12" spans="1:26" x14ac:dyDescent="0.2">
      <c r="A12" s="36" t="s">
        <v>52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 t="s">
        <v>19</v>
      </c>
      <c r="M12" s="35" t="s">
        <v>19</v>
      </c>
      <c r="N12" s="35" t="s">
        <v>19</v>
      </c>
      <c r="O12" s="35" t="s">
        <v>19</v>
      </c>
      <c r="P12" s="35" t="s">
        <v>19</v>
      </c>
      <c r="Q12" s="35" t="s">
        <v>19</v>
      </c>
      <c r="R12" s="35" t="s">
        <v>19</v>
      </c>
      <c r="S12" s="35" t="s">
        <v>53</v>
      </c>
      <c r="T12" s="35" t="s">
        <v>53</v>
      </c>
      <c r="U12" s="35" t="s">
        <v>53</v>
      </c>
      <c r="V12" s="35" t="s">
        <v>53</v>
      </c>
      <c r="W12" s="35"/>
      <c r="X12" s="35"/>
      <c r="Y12" s="35"/>
      <c r="Z12" s="35"/>
    </row>
    <row r="13" spans="1:26" x14ac:dyDescent="0.2">
      <c r="A13" s="36" t="s">
        <v>83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 t="s">
        <v>54</v>
      </c>
      <c r="M13" s="35" t="s">
        <v>54</v>
      </c>
      <c r="N13" s="35" t="s">
        <v>55</v>
      </c>
      <c r="O13" s="35" t="s">
        <v>55</v>
      </c>
      <c r="P13" s="35" t="s">
        <v>55</v>
      </c>
      <c r="Q13" s="35" t="s">
        <v>55</v>
      </c>
      <c r="R13" s="35" t="s">
        <v>55</v>
      </c>
      <c r="S13" s="35" t="s">
        <v>55</v>
      </c>
      <c r="T13" s="35" t="s">
        <v>55</v>
      </c>
      <c r="U13" s="35" t="s">
        <v>55</v>
      </c>
      <c r="V13" s="35" t="s">
        <v>55</v>
      </c>
      <c r="W13" s="35"/>
      <c r="X13" s="35"/>
      <c r="Y13" s="35"/>
      <c r="Z13" s="35"/>
    </row>
    <row r="14" spans="1:26" x14ac:dyDescent="0.2">
      <c r="A14" s="36" t="s">
        <v>45</v>
      </c>
      <c r="B14" s="51">
        <f>B17/B5</f>
        <v>66.48863759822612</v>
      </c>
      <c r="C14" s="35">
        <f>'Э3 (СЗ) (2)'!C14*(1+'ИДиР (2)'!B27/2*0)</f>
        <v>57.3</v>
      </c>
      <c r="D14" s="35">
        <f>IF(D12="С",C14*(1+ИДиР!$B$26/4),IF(D12="Э",MAX(C14*(1+ИДиР!$B$27/4),51),MAX(51,C14)))</f>
        <v>57.3</v>
      </c>
      <c r="E14" s="35">
        <f>IF(E12="С",D14*(1+ИДиР!$B$26/4),IF(E12="Э",MAX(D14*(1+ИДиР!$B$27/4),51),MAX(51,D14)))</f>
        <v>57.3</v>
      </c>
      <c r="F14" s="35">
        <f>IF(F12="С",E14*(1+ИДиР!$B$26/4),IF(F12="Э",MAX(E14*(1+ИДиР!$B$27/4),51),MAX(51,E14)))</f>
        <v>57.3</v>
      </c>
      <c r="G14" s="35">
        <f>IF(G12="С",F14*(1+ИДиР!$B$26/4),IF(G12="Э",MAX(F14*(1+ИДиР!$B$27/4),51),MAX(51,F14)))</f>
        <v>57.3</v>
      </c>
      <c r="H14" s="35">
        <f>IF(H12="С",G14*(1+ИДиР!$B$26/4),IF(H12="Э",MAX(G14*(1+ИДиР!$B$27/4),51),MAX(51,G14)))</f>
        <v>57.3</v>
      </c>
      <c r="I14" s="35">
        <f>IF(I12="С",H14*(1+ИДиР!$B$26/4),IF(I12="Э",MAX(H14*(1+ИДиР!$B$27/4),51),MAX(51,H14)))</f>
        <v>57.3</v>
      </c>
      <c r="J14" s="35">
        <f>IF(J12="С",I14*(1+ИДиР!$B$26/4),IF(J12="Э",MAX(I14*(1+ИДиР!$B$27/4),51),MAX(51,I14)))</f>
        <v>57.3</v>
      </c>
      <c r="K14" s="35">
        <f>IF(K12="С",J14*(1+ИДиР!$B$26/4),IF(K12="Э",MAX(J14*(1+ИДиР!$B$27/4),51),MAX(51,J14)))</f>
        <v>57.3</v>
      </c>
      <c r="L14" s="35">
        <f>IF(L12="С",K14*(1+ИДиР!$B$26/4),IF(L12="Э",MAX(K14*(1+ИДиР!$B$27/4),51),MAX(51,K14)))</f>
        <v>58.589249999999993</v>
      </c>
      <c r="M14" s="35">
        <f>IF(M12="С",L14*(1+ИДиР!$B$26/4),IF(M12="Э",MAX(L14*(1+ИДиР!$B$27/4),51),MAX(51,L14)))</f>
        <v>59.907508124999993</v>
      </c>
      <c r="N14" s="35">
        <f>IF(N12="С",M14*(1+ИДиР!$B$26/4),IF(N12="Э",MAX(M14*(1+ИДиР!$B$27/4),51),MAX(51,M14)))</f>
        <v>61.25542705781249</v>
      </c>
      <c r="O14" s="35">
        <f>IF(O12="С",N14*(1+ИДиР!$B$26/4),IF(O12="Э",MAX(N14*(1+ИДиР!$B$27/4),51),MAX(51,N14)))</f>
        <v>62.633674166613268</v>
      </c>
      <c r="P14" s="35">
        <f>IF(P12="С",O14*(1+ИДиР!$B$26/4),IF(P12="Э",MAX(O14*(1+ИДиР!$B$27/4),51),MAX(51,O14)))</f>
        <v>64.042931835362069</v>
      </c>
      <c r="Q14" s="35">
        <f>IF(Q12="С",P14*(1+ИДиР!$B$26/4),IF(Q12="Э",MAX(P14*(1+ИДиР!$B$27/4),51),MAX(51,P14)))</f>
        <v>65.483897801657719</v>
      </c>
      <c r="R14" s="35">
        <f>IF(R12="С",Q14*(1+ИДиР!$B$26/4),IF(R12="Э",MAX(Q14*(1+ИДиР!$B$27/4),51),MAX(51,Q14)))</f>
        <v>66.95728550219502</v>
      </c>
      <c r="S14" s="35">
        <f>IF(S12="С",R14*(1+ИДиР!$B$26/4),IF(S12="Э",MAX(R14*(1+ИДиР!$B$27/4),51),MAX(51,R14)))</f>
        <v>67.961644784727937</v>
      </c>
      <c r="T14" s="35">
        <f>IF(T12="С",S14*(1+ИДиР!$B$26/4),IF(T12="Э",MAX(S14*(1+ИДиР!$B$27/4),51),MAX(51,S14)))</f>
        <v>68.981069456498844</v>
      </c>
      <c r="U14" s="35">
        <f>IF(U12="С",T14*(1+ИДиР!$B$26/4),IF(U12="Э",MAX(T14*(1+ИДиР!$B$27/4),51),MAX(51,T14)))</f>
        <v>70.015785498346318</v>
      </c>
      <c r="V14" s="35">
        <f>IF(V12="С",U14*(1+ИДиР!$B$26/4),IF(V12="Э",MAX(U14*(1+ИДиР!$B$27/4),51),MAX(51,U14)))</f>
        <v>71.0660222808215</v>
      </c>
      <c r="W14" s="35">
        <f>'Свод (2)'!W9</f>
        <v>72.66500778213998</v>
      </c>
      <c r="X14" s="35">
        <f>'Свод (2)'!X9</f>
        <v>74.299970457238132</v>
      </c>
      <c r="Y14" s="35">
        <f>'Свод (2)'!Y9</f>
        <v>75.971719792525988</v>
      </c>
      <c r="Z14" s="35">
        <f>'Свод (2)'!Z9</f>
        <v>77.681083487857819</v>
      </c>
    </row>
    <row r="15" spans="1:26" x14ac:dyDescent="0.2">
      <c r="A15" s="36" t="s">
        <v>158</v>
      </c>
      <c r="B15" s="174">
        <f t="shared" ref="B15:B20" si="0">SUM(C15:Z15)</f>
        <v>11345.625</v>
      </c>
      <c r="C15" s="173">
        <f>IF(C13="Р",$B$5/COUNTIF(13:13,"Р"),0)</f>
        <v>0</v>
      </c>
      <c r="D15" s="173">
        <f t="shared" ref="D15:V15" si="1">IF(D13="Р",$B$5/COUNTIF(13:13,"Р"),0)</f>
        <v>0</v>
      </c>
      <c r="E15" s="173">
        <f t="shared" si="1"/>
        <v>0</v>
      </c>
      <c r="F15" s="173">
        <f t="shared" si="1"/>
        <v>0</v>
      </c>
      <c r="G15" s="173">
        <f t="shared" si="1"/>
        <v>0</v>
      </c>
      <c r="H15" s="173">
        <f t="shared" si="1"/>
        <v>0</v>
      </c>
      <c r="I15" s="173">
        <f t="shared" si="1"/>
        <v>0</v>
      </c>
      <c r="J15" s="173">
        <f t="shared" si="1"/>
        <v>0</v>
      </c>
      <c r="K15" s="173">
        <f t="shared" si="1"/>
        <v>0</v>
      </c>
      <c r="L15" s="173">
        <f t="shared" si="1"/>
        <v>0</v>
      </c>
      <c r="M15" s="173">
        <f t="shared" si="1"/>
        <v>0</v>
      </c>
      <c r="N15" s="173">
        <f t="shared" si="1"/>
        <v>1260.625</v>
      </c>
      <c r="O15" s="173">
        <f t="shared" si="1"/>
        <v>1260.625</v>
      </c>
      <c r="P15" s="173">
        <f t="shared" si="1"/>
        <v>1260.625</v>
      </c>
      <c r="Q15" s="173">
        <f t="shared" si="1"/>
        <v>1260.625</v>
      </c>
      <c r="R15" s="173">
        <f t="shared" si="1"/>
        <v>1260.625</v>
      </c>
      <c r="S15" s="173">
        <f t="shared" si="1"/>
        <v>1260.625</v>
      </c>
      <c r="T15" s="173">
        <f t="shared" si="1"/>
        <v>1260.625</v>
      </c>
      <c r="U15" s="173">
        <f t="shared" si="1"/>
        <v>1260.625</v>
      </c>
      <c r="V15" s="173">
        <f t="shared" si="1"/>
        <v>1260.625</v>
      </c>
      <c r="W15" s="35"/>
      <c r="X15" s="35"/>
      <c r="Y15" s="35"/>
      <c r="Z15" s="35"/>
    </row>
    <row r="16" spans="1:26" s="44" customFormat="1" x14ac:dyDescent="0.2">
      <c r="A16" s="43" t="s">
        <v>12</v>
      </c>
      <c r="B16" s="49">
        <f t="shared" si="0"/>
        <v>778096.77447014593</v>
      </c>
      <c r="C16" s="49">
        <f t="shared" ref="C16:Z16" si="2">SUM(C17:C20)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49">
        <f t="shared" si="2"/>
        <v>0</v>
      </c>
      <c r="K16" s="49">
        <f t="shared" si="2"/>
        <v>0</v>
      </c>
      <c r="L16" s="49">
        <f t="shared" si="2"/>
        <v>11870.812759885855</v>
      </c>
      <c r="M16" s="49">
        <f t="shared" si="2"/>
        <v>11870.812759885855</v>
      </c>
      <c r="N16" s="49">
        <f t="shared" si="2"/>
        <v>77220.12273475487</v>
      </c>
      <c r="O16" s="49">
        <f t="shared" si="2"/>
        <v>78957.575496286852</v>
      </c>
      <c r="P16" s="49">
        <f t="shared" si="2"/>
        <v>80734.120944953305</v>
      </c>
      <c r="Q16" s="49">
        <f t="shared" si="2"/>
        <v>82550.638666214756</v>
      </c>
      <c r="R16" s="49">
        <f t="shared" si="2"/>
        <v>84408.028036204589</v>
      </c>
      <c r="S16" s="49">
        <f t="shared" si="2"/>
        <v>85674.148456747658</v>
      </c>
      <c r="T16" s="49">
        <f t="shared" si="2"/>
        <v>86959.260683598855</v>
      </c>
      <c r="U16" s="49">
        <f t="shared" si="2"/>
        <v>88263.649593852824</v>
      </c>
      <c r="V16" s="49">
        <f t="shared" si="2"/>
        <v>89587.604337760597</v>
      </c>
      <c r="W16" s="49">
        <f t="shared" si="2"/>
        <v>0</v>
      </c>
      <c r="X16" s="49">
        <f t="shared" si="2"/>
        <v>0</v>
      </c>
      <c r="Y16" s="49">
        <f t="shared" si="2"/>
        <v>0</v>
      </c>
      <c r="Z16" s="49">
        <f t="shared" si="2"/>
        <v>0</v>
      </c>
    </row>
    <row r="17" spans="1:26" x14ac:dyDescent="0.2">
      <c r="A17" s="9" t="s">
        <v>44</v>
      </c>
      <c r="B17" s="4">
        <f t="shared" si="0"/>
        <v>754355.14895037422</v>
      </c>
      <c r="C17" s="38"/>
      <c r="D17" s="38"/>
      <c r="E17" s="38">
        <f t="shared" ref="E17:Z17" si="3">IF(E13="Р",$B$5*E14/COUNTIF(13:13,"Р"),0)</f>
        <v>0</v>
      </c>
      <c r="F17" s="38">
        <f t="shared" si="3"/>
        <v>0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  <c r="L17" s="38">
        <f t="shared" si="3"/>
        <v>0</v>
      </c>
      <c r="M17" s="38">
        <f t="shared" si="3"/>
        <v>0</v>
      </c>
      <c r="N17" s="38">
        <f t="shared" si="3"/>
        <v>77220.12273475487</v>
      </c>
      <c r="O17" s="38">
        <f t="shared" si="3"/>
        <v>78957.575496286852</v>
      </c>
      <c r="P17" s="38">
        <f t="shared" si="3"/>
        <v>80734.120944953305</v>
      </c>
      <c r="Q17" s="38">
        <f t="shared" si="3"/>
        <v>82550.638666214756</v>
      </c>
      <c r="R17" s="38">
        <f t="shared" si="3"/>
        <v>84408.028036204589</v>
      </c>
      <c r="S17" s="38">
        <f t="shared" si="3"/>
        <v>85674.148456747658</v>
      </c>
      <c r="T17" s="38">
        <f t="shared" si="3"/>
        <v>86959.260683598855</v>
      </c>
      <c r="U17" s="38">
        <f t="shared" si="3"/>
        <v>88263.649593852824</v>
      </c>
      <c r="V17" s="38">
        <f t="shared" si="3"/>
        <v>89587.604337760597</v>
      </c>
      <c r="W17" s="38">
        <f t="shared" si="3"/>
        <v>0</v>
      </c>
      <c r="X17" s="38">
        <f t="shared" si="3"/>
        <v>0</v>
      </c>
      <c r="Y17" s="38">
        <f t="shared" si="3"/>
        <v>0</v>
      </c>
      <c r="Z17" s="38">
        <f t="shared" si="3"/>
        <v>0</v>
      </c>
    </row>
    <row r="18" spans="1:26" x14ac:dyDescent="0.2">
      <c r="A18" s="9" t="s">
        <v>39</v>
      </c>
      <c r="B18" s="4">
        <f t="shared" si="0"/>
        <v>0</v>
      </c>
      <c r="C18" s="39">
        <f>B44*'ИДиР (2)'!$B$22/4</f>
        <v>0</v>
      </c>
      <c r="D18" s="39">
        <f>C44*'ИДиР (2)'!$B$22/4</f>
        <v>0</v>
      </c>
      <c r="E18" s="39">
        <f>D44*'ИДиР (2)'!$B$22/4</f>
        <v>0</v>
      </c>
      <c r="F18" s="39">
        <f>E44*'ИДиР (2)'!$B$22/4</f>
        <v>0</v>
      </c>
      <c r="G18" s="39">
        <f>F44*'ИДиР (2)'!$B$22/4</f>
        <v>0</v>
      </c>
      <c r="H18" s="39">
        <f>G44*'ИДиР (2)'!$B$22/4</f>
        <v>0</v>
      </c>
      <c r="I18" s="39">
        <f>H44*'ИДиР (2)'!$B$22/4</f>
        <v>0</v>
      </c>
      <c r="J18" s="39">
        <f>I44*'ИДиР (2)'!$B$22/4</f>
        <v>0</v>
      </c>
      <c r="K18" s="39">
        <f>J44*'ИДиР (2)'!$B$22/4</f>
        <v>0</v>
      </c>
      <c r="L18" s="39">
        <f>K44*'ИДиР (2)'!$B$22/4</f>
        <v>0</v>
      </c>
      <c r="M18" s="39">
        <f>L44*'ИДиР (2)'!$B$22/4</f>
        <v>0</v>
      </c>
      <c r="N18" s="39">
        <f>M44*'ИДиР (2)'!$B$22/4</f>
        <v>0</v>
      </c>
      <c r="O18" s="39">
        <f>N44*'ИДиР (2)'!$B$22/4</f>
        <v>0</v>
      </c>
      <c r="P18" s="39">
        <f>O44*'ИДиР (2)'!$B$22/4</f>
        <v>0</v>
      </c>
      <c r="Q18" s="39">
        <f>P44*'ИДиР (2)'!$B$22/4</f>
        <v>0</v>
      </c>
      <c r="R18" s="39">
        <f>Q44*'ИДиР (2)'!$B$22/4</f>
        <v>0</v>
      </c>
      <c r="S18" s="39">
        <f>R44*'ИДиР (2)'!$B$22/4</f>
        <v>0</v>
      </c>
      <c r="T18" s="39">
        <f>S44*'ИДиР (2)'!$B$22/4</f>
        <v>0</v>
      </c>
      <c r="U18" s="39">
        <f>T44*'ИДиР (2)'!$B$22/4</f>
        <v>0</v>
      </c>
      <c r="V18" s="39">
        <f>U44*'ИДиР (2)'!$B$22/4</f>
        <v>0</v>
      </c>
      <c r="W18" s="39">
        <f>V44*'ИДиР (2)'!$B$22/4</f>
        <v>0</v>
      </c>
      <c r="X18" s="39">
        <f>W44*'ИДиР (2)'!$B$22/4</f>
        <v>0</v>
      </c>
      <c r="Y18" s="39">
        <f>X44*'ИДиР (2)'!$B$22/4</f>
        <v>0</v>
      </c>
      <c r="Z18" s="39">
        <f>Y44*'ИДиР (2)'!$B$22/4</f>
        <v>0</v>
      </c>
    </row>
    <row r="19" spans="1:26" x14ac:dyDescent="0.2">
      <c r="A19" s="9" t="s">
        <v>20</v>
      </c>
      <c r="B19" s="4">
        <f t="shared" si="0"/>
        <v>11963.83828886546</v>
      </c>
      <c r="C19" s="38"/>
      <c r="D19" s="38"/>
      <c r="E19" s="38">
        <f t="shared" ref="E19:F19" si="4">IF(E13="У",-E22-E20,0)</f>
        <v>0</v>
      </c>
      <c r="F19" s="38">
        <f t="shared" si="4"/>
        <v>0</v>
      </c>
      <c r="G19" s="38">
        <f>IF(G13="У",-G22-G20,0)</f>
        <v>0</v>
      </c>
      <c r="H19" s="38">
        <f t="shared" ref="H19:Z19" si="5">IF(H13="У",-H22-H20,0)</f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5981.9191444327298</v>
      </c>
      <c r="M19" s="38">
        <f t="shared" si="5"/>
        <v>5981.9191444327298</v>
      </c>
      <c r="N19" s="38">
        <f t="shared" si="5"/>
        <v>0</v>
      </c>
      <c r="O19" s="38">
        <f t="shared" si="5"/>
        <v>0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0</v>
      </c>
      <c r="T19" s="38">
        <f t="shared" si="5"/>
        <v>0</v>
      </c>
      <c r="U19" s="38">
        <f t="shared" si="5"/>
        <v>0</v>
      </c>
      <c r="V19" s="38">
        <f t="shared" si="5"/>
        <v>0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0</v>
      </c>
    </row>
    <row r="20" spans="1:26" x14ac:dyDescent="0.2">
      <c r="A20" s="9" t="s">
        <v>21</v>
      </c>
      <c r="B20" s="4">
        <f t="shared" si="0"/>
        <v>11777.787230906251</v>
      </c>
      <c r="C20" s="38"/>
      <c r="D20" s="38"/>
      <c r="E20" s="38">
        <f t="shared" ref="E20:Z20" si="6">IF(E13="У",$B$7*$B$8/COUNTIF(13:13,"У"),0)</f>
        <v>0</v>
      </c>
      <c r="F20" s="38">
        <f t="shared" si="6"/>
        <v>0</v>
      </c>
      <c r="G20" s="38">
        <f t="shared" si="6"/>
        <v>0</v>
      </c>
      <c r="H20" s="38">
        <f t="shared" si="6"/>
        <v>0</v>
      </c>
      <c r="I20" s="38">
        <f t="shared" si="6"/>
        <v>0</v>
      </c>
      <c r="J20" s="38">
        <f t="shared" si="6"/>
        <v>0</v>
      </c>
      <c r="K20" s="38">
        <f t="shared" si="6"/>
        <v>0</v>
      </c>
      <c r="L20" s="38">
        <f t="shared" si="6"/>
        <v>5888.8936154531257</v>
      </c>
      <c r="M20" s="38">
        <f t="shared" si="6"/>
        <v>5888.8936154531257</v>
      </c>
      <c r="N20" s="38">
        <f t="shared" si="6"/>
        <v>0</v>
      </c>
      <c r="O20" s="38">
        <f t="shared" si="6"/>
        <v>0</v>
      </c>
      <c r="P20" s="38">
        <f t="shared" si="6"/>
        <v>0</v>
      </c>
      <c r="Q20" s="38">
        <f t="shared" si="6"/>
        <v>0</v>
      </c>
      <c r="R20" s="38">
        <f t="shared" si="6"/>
        <v>0</v>
      </c>
      <c r="S20" s="38">
        <f t="shared" si="6"/>
        <v>0</v>
      </c>
      <c r="T20" s="38">
        <f t="shared" si="6"/>
        <v>0</v>
      </c>
      <c r="U20" s="38">
        <f t="shared" si="6"/>
        <v>0</v>
      </c>
      <c r="V20" s="38">
        <f t="shared" si="6"/>
        <v>0</v>
      </c>
      <c r="W20" s="38">
        <f t="shared" si="6"/>
        <v>0</v>
      </c>
      <c r="X20" s="38">
        <f t="shared" si="6"/>
        <v>0</v>
      </c>
      <c r="Y20" s="38">
        <f t="shared" si="6"/>
        <v>0</v>
      </c>
      <c r="Z20" s="38">
        <f t="shared" si="6"/>
        <v>0</v>
      </c>
    </row>
    <row r="21" spans="1:26" s="28" customFormat="1" x14ac:dyDescent="0.2">
      <c r="A21" s="29" t="s">
        <v>22</v>
      </c>
      <c r="B21" s="65"/>
      <c r="C21" s="42">
        <f t="shared" ref="C21:Z21" si="7">B21+C20+C26</f>
        <v>0</v>
      </c>
      <c r="D21" s="42">
        <f t="shared" si="7"/>
        <v>0</v>
      </c>
      <c r="E21" s="42">
        <f t="shared" si="7"/>
        <v>0</v>
      </c>
      <c r="F21" s="42">
        <f t="shared" si="7"/>
        <v>0</v>
      </c>
      <c r="G21" s="42">
        <f t="shared" si="7"/>
        <v>0</v>
      </c>
      <c r="H21" s="42">
        <f t="shared" si="7"/>
        <v>0</v>
      </c>
      <c r="I21" s="42">
        <f t="shared" si="7"/>
        <v>0</v>
      </c>
      <c r="J21" s="42">
        <f t="shared" si="7"/>
        <v>0</v>
      </c>
      <c r="K21" s="42">
        <f t="shared" si="7"/>
        <v>0</v>
      </c>
      <c r="L21" s="42">
        <f t="shared" si="7"/>
        <v>5888.8936154531257</v>
      </c>
      <c r="M21" s="42">
        <f t="shared" si="7"/>
        <v>11777.787230906251</v>
      </c>
      <c r="N21" s="42">
        <f t="shared" si="7"/>
        <v>11777.787230906251</v>
      </c>
      <c r="O21" s="42">
        <f t="shared" si="7"/>
        <v>11777.787230906251</v>
      </c>
      <c r="P21" s="42">
        <f t="shared" si="7"/>
        <v>11777.787230906251</v>
      </c>
      <c r="Q21" s="42">
        <f t="shared" si="7"/>
        <v>11777.787230906251</v>
      </c>
      <c r="R21" s="42">
        <f t="shared" si="7"/>
        <v>11777.787230906251</v>
      </c>
      <c r="S21" s="42">
        <f t="shared" si="7"/>
        <v>11777.787230906251</v>
      </c>
      <c r="T21" s="42">
        <f t="shared" si="7"/>
        <v>11777.787230906251</v>
      </c>
      <c r="U21" s="42">
        <f t="shared" si="7"/>
        <v>0</v>
      </c>
      <c r="V21" s="42">
        <f t="shared" si="7"/>
        <v>0</v>
      </c>
      <c r="W21" s="42">
        <f t="shared" si="7"/>
        <v>0</v>
      </c>
      <c r="X21" s="42">
        <f t="shared" si="7"/>
        <v>0</v>
      </c>
      <c r="Y21" s="42">
        <f t="shared" si="7"/>
        <v>0</v>
      </c>
      <c r="Z21" s="42">
        <f t="shared" si="7"/>
        <v>0</v>
      </c>
    </row>
    <row r="22" spans="1:26" s="44" customFormat="1" x14ac:dyDescent="0.2">
      <c r="A22" s="43" t="s">
        <v>13</v>
      </c>
      <c r="B22" s="49">
        <f t="shared" ref="B22:B29" si="8">SUM(C22:Z22)</f>
        <v>-534298.63275506219</v>
      </c>
      <c r="C22" s="49">
        <f t="shared" ref="C22:V22" si="9">SUM(C23:C29)</f>
        <v>0</v>
      </c>
      <c r="D22" s="49">
        <f t="shared" si="9"/>
        <v>0</v>
      </c>
      <c r="E22" s="49">
        <f t="shared" si="9"/>
        <v>0</v>
      </c>
      <c r="F22" s="49">
        <f t="shared" si="9"/>
        <v>0</v>
      </c>
      <c r="G22" s="49">
        <f t="shared" si="9"/>
        <v>0</v>
      </c>
      <c r="H22" s="49">
        <f t="shared" si="9"/>
        <v>0</v>
      </c>
      <c r="I22" s="49">
        <f t="shared" si="9"/>
        <v>0</v>
      </c>
      <c r="J22" s="49">
        <f t="shared" si="9"/>
        <v>0</v>
      </c>
      <c r="K22" s="49">
        <f t="shared" si="9"/>
        <v>0</v>
      </c>
      <c r="L22" s="49">
        <f t="shared" si="9"/>
        <v>-11870.812759885855</v>
      </c>
      <c r="M22" s="49">
        <f t="shared" si="9"/>
        <v>-11870.812759885855</v>
      </c>
      <c r="N22" s="49">
        <f t="shared" si="9"/>
        <v>-97133.250407120839</v>
      </c>
      <c r="O22" s="49">
        <f t="shared" si="9"/>
        <v>-94155.520040600677</v>
      </c>
      <c r="P22" s="49">
        <f t="shared" si="9"/>
        <v>-95557.969256885437</v>
      </c>
      <c r="Q22" s="49">
        <f t="shared" si="9"/>
        <v>-96974.072330920899</v>
      </c>
      <c r="R22" s="49">
        <f t="shared" si="9"/>
        <v>-98403.688943266025</v>
      </c>
      <c r="S22" s="49">
        <f t="shared" si="9"/>
        <v>-8720.7144201246192</v>
      </c>
      <c r="T22" s="49">
        <f t="shared" si="9"/>
        <v>-1774.1997402658878</v>
      </c>
      <c r="U22" s="49">
        <f t="shared" si="9"/>
        <v>-16045.840009350886</v>
      </c>
      <c r="V22" s="49">
        <f t="shared" si="9"/>
        <v>-1791.7520867552121</v>
      </c>
      <c r="W22" s="49">
        <f t="shared" ref="W22:Z22" si="10">SUM(W23:W27)</f>
        <v>0</v>
      </c>
      <c r="X22" s="49">
        <f t="shared" si="10"/>
        <v>0</v>
      </c>
      <c r="Y22" s="49">
        <f t="shared" si="10"/>
        <v>0</v>
      </c>
      <c r="Z22" s="49">
        <f t="shared" si="10"/>
        <v>0</v>
      </c>
    </row>
    <row r="23" spans="1:26" x14ac:dyDescent="0.2">
      <c r="A23" s="9" t="s">
        <v>23</v>
      </c>
      <c r="B23" s="4">
        <f t="shared" si="8"/>
        <v>-471111.48923625</v>
      </c>
      <c r="C23" s="38"/>
      <c r="D23" s="38"/>
      <c r="E23" s="38">
        <f t="shared" ref="E23:Z23" si="11">IF(E12="С",IF(E13="У",-$B$7/COUNTIF(13:13,"У"),-($B$6-$B$7)/(COUNTIF(12:12,"С")-COUNTIF(13:13,"У"))),0)</f>
        <v>0</v>
      </c>
      <c r="F23" s="38">
        <f t="shared" si="11"/>
        <v>0</v>
      </c>
      <c r="G23" s="38">
        <f t="shared" si="11"/>
        <v>0</v>
      </c>
      <c r="H23" s="38">
        <f t="shared" si="11"/>
        <v>0</v>
      </c>
      <c r="I23" s="38">
        <f>IF(I12="С",IF(I13="У",-$B$7/COUNTIF(13:13,"У"),-($B$6-$B$7)/(COUNTIF(12:12,"С")-COUNTIF(13:13,"У"))),0)</f>
        <v>0</v>
      </c>
      <c r="J23" s="38">
        <f t="shared" si="11"/>
        <v>0</v>
      </c>
      <c r="K23" s="38">
        <f t="shared" si="11"/>
        <v>0</v>
      </c>
      <c r="L23" s="38">
        <f t="shared" si="11"/>
        <v>-11777.787230906251</v>
      </c>
      <c r="M23" s="38">
        <f t="shared" si="11"/>
        <v>-11777.787230906251</v>
      </c>
      <c r="N23" s="38">
        <f t="shared" si="11"/>
        <v>-89511.182954887496</v>
      </c>
      <c r="O23" s="38">
        <f t="shared" si="11"/>
        <v>-89511.182954887496</v>
      </c>
      <c r="P23" s="38">
        <f t="shared" si="11"/>
        <v>-89511.182954887496</v>
      </c>
      <c r="Q23" s="38">
        <f t="shared" si="11"/>
        <v>-89511.182954887496</v>
      </c>
      <c r="R23" s="38">
        <f t="shared" si="11"/>
        <v>-89511.182954887496</v>
      </c>
      <c r="S23" s="38">
        <f t="shared" si="11"/>
        <v>0</v>
      </c>
      <c r="T23" s="38">
        <f t="shared" si="11"/>
        <v>0</v>
      </c>
      <c r="U23" s="38">
        <f t="shared" si="11"/>
        <v>0</v>
      </c>
      <c r="V23" s="38">
        <f t="shared" si="11"/>
        <v>0</v>
      </c>
      <c r="W23" s="38">
        <f t="shared" si="11"/>
        <v>0</v>
      </c>
      <c r="X23" s="38">
        <f t="shared" si="11"/>
        <v>0</v>
      </c>
      <c r="Y23" s="38">
        <f t="shared" si="11"/>
        <v>0</v>
      </c>
      <c r="Z23" s="38">
        <f t="shared" si="11"/>
        <v>0</v>
      </c>
    </row>
    <row r="24" spans="1:26" x14ac:dyDescent="0.2">
      <c r="A24" s="9" t="s">
        <v>145</v>
      </c>
      <c r="B24" s="4">
        <f>SUM(C24:Z24)</f>
        <v>-18808.124138191655</v>
      </c>
      <c r="C24" s="38">
        <f t="shared" ref="C24:V24" si="12">-C17*2%+C23*$R$1</f>
        <v>0</v>
      </c>
      <c r="D24" s="38">
        <f t="shared" si="12"/>
        <v>0</v>
      </c>
      <c r="E24" s="38">
        <f t="shared" si="12"/>
        <v>0</v>
      </c>
      <c r="F24" s="38">
        <f t="shared" si="12"/>
        <v>0</v>
      </c>
      <c r="G24" s="38">
        <f t="shared" si="12"/>
        <v>0</v>
      </c>
      <c r="H24" s="38">
        <f t="shared" si="12"/>
        <v>0</v>
      </c>
      <c r="I24" s="38">
        <f t="shared" si="12"/>
        <v>0</v>
      </c>
      <c r="J24" s="38">
        <f t="shared" si="12"/>
        <v>0</v>
      </c>
      <c r="K24" s="38">
        <f t="shared" si="12"/>
        <v>0</v>
      </c>
      <c r="L24" s="38">
        <f t="shared" si="12"/>
        <v>-93.025528979604218</v>
      </c>
      <c r="M24" s="38">
        <f t="shared" si="12"/>
        <v>-93.025528979604218</v>
      </c>
      <c r="N24" s="38">
        <f t="shared" si="12"/>
        <v>-2251.3964749400893</v>
      </c>
      <c r="O24" s="38">
        <f t="shared" si="12"/>
        <v>-2286.1455301707292</v>
      </c>
      <c r="P24" s="38">
        <f t="shared" si="12"/>
        <v>-2321.6764391440579</v>
      </c>
      <c r="Q24" s="38">
        <f t="shared" si="12"/>
        <v>-2358.0067935692873</v>
      </c>
      <c r="R24" s="38">
        <f t="shared" si="12"/>
        <v>-2395.1545809690838</v>
      </c>
      <c r="S24" s="38">
        <f t="shared" si="12"/>
        <v>-1713.4829691349532</v>
      </c>
      <c r="T24" s="38">
        <f t="shared" si="12"/>
        <v>-1739.1852136719772</v>
      </c>
      <c r="U24" s="38">
        <f t="shared" si="12"/>
        <v>-1765.2729918770565</v>
      </c>
      <c r="V24" s="38">
        <f t="shared" si="12"/>
        <v>-1791.7520867552121</v>
      </c>
      <c r="W24" s="38">
        <f>-W17*2%+W23*0.5933%</f>
        <v>0</v>
      </c>
      <c r="X24" s="38">
        <f>-X17*2%+X23*0.5933%</f>
        <v>0</v>
      </c>
      <c r="Y24" s="38">
        <f>-Y17*2%+Y23*0.5933%</f>
        <v>0</v>
      </c>
      <c r="Z24" s="38">
        <f>-Z17*2%+Z23*0.5933%</f>
        <v>0</v>
      </c>
    </row>
    <row r="25" spans="1:26" x14ac:dyDescent="0.2">
      <c r="A25" s="9" t="s">
        <v>46</v>
      </c>
      <c r="B25" s="4">
        <f t="shared" si="8"/>
        <v>-21147.33406765799</v>
      </c>
      <c r="C25" s="126">
        <f t="shared" ref="C25:G25" si="13">-B37*C39/4</f>
        <v>0</v>
      </c>
      <c r="D25" s="126">
        <f t="shared" si="13"/>
        <v>0</v>
      </c>
      <c r="E25" s="126">
        <f t="shared" si="13"/>
        <v>0</v>
      </c>
      <c r="F25" s="126">
        <f t="shared" si="13"/>
        <v>0</v>
      </c>
      <c r="G25" s="126">
        <f t="shared" si="13"/>
        <v>0</v>
      </c>
      <c r="H25" s="126">
        <f>-G37*H39/4</f>
        <v>0</v>
      </c>
      <c r="I25" s="126">
        <f t="shared" ref="I25:V25" si="14">-H37*I39/4</f>
        <v>0</v>
      </c>
      <c r="J25" s="126">
        <f t="shared" si="14"/>
        <v>0</v>
      </c>
      <c r="K25" s="126">
        <f t="shared" si="14"/>
        <v>0</v>
      </c>
      <c r="L25" s="126">
        <f t="shared" si="14"/>
        <v>0</v>
      </c>
      <c r="M25" s="126">
        <f t="shared" si="14"/>
        <v>0</v>
      </c>
      <c r="N25" s="126">
        <f t="shared" si="14"/>
        <v>0</v>
      </c>
      <c r="O25" s="126">
        <f t="shared" si="14"/>
        <v>-1463.0797259935853</v>
      </c>
      <c r="P25" s="126">
        <f t="shared" si="14"/>
        <v>-2829.9980333050166</v>
      </c>
      <c r="Q25" s="126">
        <f t="shared" si="14"/>
        <v>-4209.7707529152358</v>
      </c>
      <c r="R25" s="126">
        <f t="shared" si="14"/>
        <v>-5602.2395778605742</v>
      </c>
      <c r="S25" s="126">
        <f t="shared" si="14"/>
        <v>-7007.2314509896669</v>
      </c>
      <c r="T25" s="126">
        <f t="shared" si="14"/>
        <v>-35.014526593910709</v>
      </c>
      <c r="U25" s="126">
        <f t="shared" si="14"/>
        <v>0</v>
      </c>
      <c r="V25" s="126">
        <f t="shared" si="14"/>
        <v>0</v>
      </c>
      <c r="W25" s="38">
        <f>-V38*'ИДиР (2)'!$B$20/4-(V37-V38)*'ИДиР (2)'!$B$21/4</f>
        <v>0</v>
      </c>
      <c r="X25" s="38">
        <f>-W38*'ИДиР (2)'!$B$20/4-(W37-W38)*'ИДиР (2)'!$B$21/4</f>
        <v>0</v>
      </c>
      <c r="Y25" s="38">
        <f>-X38*'ИДиР (2)'!$B$20/4-(X37-X38)*'ИДиР (2)'!$B$21/4</f>
        <v>0</v>
      </c>
      <c r="Z25" s="38">
        <f>-Y38*'ИДиР (2)'!$B$20/4-(Y37-Y38)*'ИДиР (2)'!$B$21/4</f>
        <v>0</v>
      </c>
    </row>
    <row r="26" spans="1:26" x14ac:dyDescent="0.2">
      <c r="A26" s="9" t="s">
        <v>24</v>
      </c>
      <c r="B26" s="4">
        <f t="shared" si="8"/>
        <v>-11777.787230906251</v>
      </c>
      <c r="C26" s="38"/>
      <c r="D26" s="38"/>
      <c r="E26" s="38">
        <f t="shared" ref="E26:Z26" si="15">IF(AND(E12="Э",D21&gt;0,D37=0),-$B$20,0)</f>
        <v>0</v>
      </c>
      <c r="F26" s="38">
        <f t="shared" si="15"/>
        <v>0</v>
      </c>
      <c r="G26" s="38">
        <f t="shared" si="15"/>
        <v>0</v>
      </c>
      <c r="H26" s="38">
        <f t="shared" si="15"/>
        <v>0</v>
      </c>
      <c r="I26" s="38">
        <f t="shared" si="15"/>
        <v>0</v>
      </c>
      <c r="J26" s="38">
        <f t="shared" si="15"/>
        <v>0</v>
      </c>
      <c r="K26" s="38">
        <f t="shared" si="15"/>
        <v>0</v>
      </c>
      <c r="L26" s="38">
        <f t="shared" si="15"/>
        <v>0</v>
      </c>
      <c r="M26" s="38">
        <f t="shared" si="15"/>
        <v>0</v>
      </c>
      <c r="N26" s="38">
        <f t="shared" si="15"/>
        <v>0</v>
      </c>
      <c r="O26" s="38">
        <f t="shared" si="15"/>
        <v>0</v>
      </c>
      <c r="P26" s="38">
        <f t="shared" si="15"/>
        <v>0</v>
      </c>
      <c r="Q26" s="38">
        <f t="shared" si="15"/>
        <v>0</v>
      </c>
      <c r="R26" s="38">
        <f t="shared" si="15"/>
        <v>0</v>
      </c>
      <c r="S26" s="38">
        <f t="shared" si="15"/>
        <v>0</v>
      </c>
      <c r="T26" s="38">
        <f t="shared" si="15"/>
        <v>0</v>
      </c>
      <c r="U26" s="38">
        <f t="shared" si="15"/>
        <v>-11777.787230906251</v>
      </c>
      <c r="V26" s="38">
        <f t="shared" si="15"/>
        <v>0</v>
      </c>
      <c r="W26" s="38">
        <f t="shared" si="15"/>
        <v>0</v>
      </c>
      <c r="X26" s="38">
        <f t="shared" si="15"/>
        <v>0</v>
      </c>
      <c r="Y26" s="38">
        <f t="shared" si="15"/>
        <v>0</v>
      </c>
      <c r="Z26" s="38">
        <f t="shared" si="15"/>
        <v>0</v>
      </c>
    </row>
    <row r="27" spans="1:26" x14ac:dyDescent="0.2">
      <c r="A27" s="9" t="s">
        <v>25</v>
      </c>
      <c r="B27" s="4">
        <f t="shared" si="8"/>
        <v>-2502.7797865675784</v>
      </c>
      <c r="C27" s="38"/>
      <c r="D27" s="38"/>
      <c r="E27" s="38">
        <f>IF(E26&lt;0,-SUM($C21:E21)*7.5%*1.25/4,0)</f>
        <v>0</v>
      </c>
      <c r="F27" s="38">
        <f>IF(F26&lt;0,-SUM($C21:F21)*7.5%*1.25/4,0)</f>
        <v>0</v>
      </c>
      <c r="G27" s="38">
        <f>IF(G26&lt;0,-SUM($C21:G21)*'ИДиР (2)'!$B$19/4,0)</f>
        <v>0</v>
      </c>
      <c r="H27" s="38">
        <f>IF(H26&lt;0,-SUM($C21:H21)*'ИДиР (2)'!$B$19/4,0)</f>
        <v>0</v>
      </c>
      <c r="I27" s="38">
        <f>IF(I26&lt;0,-SUM($C21:I21)*'ИДиР (2)'!$B$19/4,0)</f>
        <v>0</v>
      </c>
      <c r="J27" s="38">
        <f>IF(J26&lt;0,-SUM($C21:J21)*'ИДиР (2)'!$B$19/4,0)</f>
        <v>0</v>
      </c>
      <c r="K27" s="38">
        <f>IF(K26&lt;0,-SUM($C21:K21)*'ИДиР (2)'!$B$19/4,0)</f>
        <v>0</v>
      </c>
      <c r="L27" s="38">
        <f>IF(L26&lt;0,-SUM($C21:L21)*'ИДиР (2)'!$B$19/4,0)</f>
        <v>0</v>
      </c>
      <c r="M27" s="38">
        <f>IF(M26&lt;0,-SUM($C21:M21)*'ИДиР (2)'!$B$19/4,0)</f>
        <v>0</v>
      </c>
      <c r="N27" s="38">
        <f>IF(N26&lt;0,-SUM($C21:N21)*'ИДиР (2)'!$B$19/4,0)</f>
        <v>0</v>
      </c>
      <c r="O27" s="38">
        <f>IF(O26&lt;0,-SUM($C21:O21)*'ИДиР (2)'!$B$19/4,0)</f>
        <v>0</v>
      </c>
      <c r="P27" s="38">
        <f>IF(P26&lt;0,-SUM($C21:P21)*'ИДиР (2)'!$B$19/4,0)</f>
        <v>0</v>
      </c>
      <c r="Q27" s="38">
        <f>IF(Q26&lt;0,-SUM($C21:Q21)*'ИДиР (2)'!$B$19/4,0)</f>
        <v>0</v>
      </c>
      <c r="R27" s="38">
        <f>IF(R26&lt;0,-SUM($C21:R21)*'ИДиР (2)'!$B$19/4,0)</f>
        <v>0</v>
      </c>
      <c r="S27" s="38">
        <f>IF(S26&lt;0,-SUM($C21:S21)*'ИДиР (2)'!$B$19/4,0)</f>
        <v>0</v>
      </c>
      <c r="T27" s="38">
        <f>IF(T26&lt;0,-SUM($C21:T21)*'ИДиР (2)'!$B$19/4,0)</f>
        <v>0</v>
      </c>
      <c r="U27" s="38">
        <f>IF(U26&lt;0,-SUM($C21:U21)*'ИДиР (2)'!$B$19/4,0)</f>
        <v>-2502.7797865675784</v>
      </c>
      <c r="V27" s="38">
        <f>IF(V26&lt;0,-SUM($C21:V21)*'ИДиР (2)'!$B$19/4,0)</f>
        <v>0</v>
      </c>
      <c r="W27" s="38">
        <f>IF(W26&lt;0,-SUM($C21:W21)*'ИДиР (2)'!$B$19/4,0)</f>
        <v>0</v>
      </c>
      <c r="X27" s="38">
        <f>IF(X26&lt;0,-SUM($C21:X21)*'ИДиР (2)'!$B$19/4,0)</f>
        <v>0</v>
      </c>
      <c r="Y27" s="38">
        <f>IF(Y26&lt;0,-SUM($C21:Y21)*'ИДиР (2)'!$B$19/4,0)</f>
        <v>0</v>
      </c>
      <c r="Z27" s="38">
        <f>IF(Z26&lt;0,-SUM($C21:Z21)*'ИДиР (2)'!$B$19/4,0)</f>
        <v>0</v>
      </c>
    </row>
    <row r="28" spans="1:26" x14ac:dyDescent="0.2">
      <c r="A28" s="9" t="s">
        <v>126</v>
      </c>
      <c r="B28" s="4">
        <f t="shared" si="8"/>
        <v>-4475.559147744375</v>
      </c>
      <c r="C28" s="38"/>
      <c r="D28" s="38">
        <f t="shared" ref="D28:V28" si="16">IF(D13="Р",IF(AND(D13="Р",D12="С"),D23*1%,0),0)</f>
        <v>0</v>
      </c>
      <c r="E28" s="38">
        <f t="shared" si="16"/>
        <v>0</v>
      </c>
      <c r="F28" s="38">
        <f t="shared" si="16"/>
        <v>0</v>
      </c>
      <c r="G28" s="38">
        <f t="shared" si="16"/>
        <v>0</v>
      </c>
      <c r="H28" s="38">
        <f t="shared" si="16"/>
        <v>0</v>
      </c>
      <c r="I28" s="38">
        <f t="shared" si="16"/>
        <v>0</v>
      </c>
      <c r="J28" s="38">
        <f t="shared" si="16"/>
        <v>0</v>
      </c>
      <c r="K28" s="38">
        <f t="shared" si="16"/>
        <v>0</v>
      </c>
      <c r="L28" s="38">
        <f t="shared" si="16"/>
        <v>0</v>
      </c>
      <c r="M28" s="38">
        <f t="shared" si="16"/>
        <v>0</v>
      </c>
      <c r="N28" s="38">
        <f t="shared" si="16"/>
        <v>-895.11182954887499</v>
      </c>
      <c r="O28" s="38">
        <f t="shared" si="16"/>
        <v>-895.11182954887499</v>
      </c>
      <c r="P28" s="38">
        <f t="shared" si="16"/>
        <v>-895.11182954887499</v>
      </c>
      <c r="Q28" s="38">
        <f t="shared" si="16"/>
        <v>-895.11182954887499</v>
      </c>
      <c r="R28" s="38">
        <f t="shared" si="16"/>
        <v>-895.11182954887499</v>
      </c>
      <c r="S28" s="38">
        <f t="shared" si="16"/>
        <v>0</v>
      </c>
      <c r="T28" s="38">
        <f t="shared" si="16"/>
        <v>0</v>
      </c>
      <c r="U28" s="38">
        <f t="shared" si="16"/>
        <v>0</v>
      </c>
      <c r="V28" s="38">
        <f t="shared" si="16"/>
        <v>0</v>
      </c>
      <c r="W28" s="38"/>
      <c r="X28" s="38"/>
      <c r="Y28" s="38"/>
      <c r="Z28" s="38"/>
    </row>
    <row r="29" spans="1:26" x14ac:dyDescent="0.2">
      <c r="A29" s="9" t="s">
        <v>125</v>
      </c>
      <c r="B29" s="4">
        <f t="shared" si="8"/>
        <v>-4475.559147744375</v>
      </c>
      <c r="C29" s="38"/>
      <c r="D29" s="38">
        <f>IF(D13="Р",-(IF(C44+D16+SUM(D23:D28)&lt;0,($B$6-$B$7)*1%+SUM($C$29:C29),0)),0)</f>
        <v>0</v>
      </c>
      <c r="E29" s="38">
        <f>IF(E13="Р",-(IF(D44+E16+SUM(E23:E28)&lt;0,($B$6-$B$7)*1%+SUM($C$29:D29),0)),0)</f>
        <v>0</v>
      </c>
      <c r="F29" s="38">
        <f>IF(F13="Р",-(IF(E44+F16+SUM(F23:F28)&lt;0,($B$6-$B$7)*1%+SUM($C$29:E29),0)),0)</f>
        <v>0</v>
      </c>
      <c r="G29" s="38">
        <f>IF(G13="Р",-(IF(F44+G16+SUM(G23:G28)&lt;0,($B$6-$B$7)*1%+SUM($C$29:F29),0)),0)</f>
        <v>0</v>
      </c>
      <c r="H29" s="38">
        <f>IF(H13="Р",-(IF(G44+H16+SUM(H23:H28)&lt;0,($B$6-$B$7)*1%+SUM($C$29:G29),0)),0)</f>
        <v>0</v>
      </c>
      <c r="I29" s="38">
        <f>IF(I13="Р",-(IF(H44+I16+SUM(I23:I28)&lt;0,($B$6-$B$7)*1%+SUM($C$29:H29),0)),0)</f>
        <v>0</v>
      </c>
      <c r="J29" s="38">
        <f>IF(J13="Р",-(IF(I44+J16+SUM(J23:J28)&lt;0,($B$6-$B$7)*1%+SUM($C$29:I29),0)),0)</f>
        <v>0</v>
      </c>
      <c r="K29" s="38">
        <f>IF(K13="Р",-(IF(J44+K16+SUM(K23:K28)&lt;0,($B$6-$B$7)*1%+SUM($C$29:J29),0)),0)</f>
        <v>0</v>
      </c>
      <c r="L29" s="38">
        <f>IF(L13="Р",-(IF(K44+L16+SUM(L23:L28)&lt;0,($B$6-$B$7)*1%+SUM($C$29:K29),0)),0)</f>
        <v>0</v>
      </c>
      <c r="M29" s="38">
        <f>IF(M13="Р",-(IF(L44+M16+SUM(M23:M28)&lt;0,($B$6-$B$7)*1%+SUM($C$29:L29),0)),0)</f>
        <v>0</v>
      </c>
      <c r="N29" s="38">
        <f>IF(N13="Р",-(IF(M44+N16+SUM(N23:N28)&lt;0,($B$6-$B$7)*1%+SUM($C$29:M29),0)),0)</f>
        <v>-4475.559147744375</v>
      </c>
      <c r="O29" s="38">
        <f>IF(O13="Р",-(IF(N44+O16+SUM(O23:O28)&lt;0,($B$6-$B$7)*1%+SUM($C$29:N29),0)),0)</f>
        <v>0</v>
      </c>
      <c r="P29" s="38">
        <f>IF(P13="Р",-(IF(O44+P16+SUM(P23:P28)&lt;0,($B$6-$B$7)*1%+SUM($C$29:O29),0)),0)</f>
        <v>0</v>
      </c>
      <c r="Q29" s="38">
        <f>IF(Q13="Р",-(IF(P44+Q16+SUM(Q23:Q28)&lt;0,($B$6-$B$7)*1%+SUM($C$29:P29),0)),0)</f>
        <v>0</v>
      </c>
      <c r="R29" s="38">
        <f>IF(R13="Р",-(IF(Q44+R16+SUM(R23:R28)&lt;0,($B$6-$B$7)*1%+SUM($C$29:Q29),0)),0)</f>
        <v>0</v>
      </c>
      <c r="S29" s="38">
        <f>IF(S13="Р",-(IF(R44+S16+SUM(S23:S28)&lt;0,($B$6-$B$7)*1%+SUM($C$29:R29),0)),0)</f>
        <v>0</v>
      </c>
      <c r="T29" s="38">
        <f>IF(T13="Р",-(IF(S44+T16+SUM(T23:T28)&lt;0,($B$6-$B$7)*1%+SUM($C$29:S29),0)),0)</f>
        <v>0</v>
      </c>
      <c r="U29" s="38">
        <f>IF(U13="Р",-(IF(T44+U16+SUM(U23:U28)&lt;0,($B$6-$B$7)*1%+SUM($C$29:T29),0)),0)</f>
        <v>0</v>
      </c>
      <c r="V29" s="38">
        <f>IF(V13="Р",-(IF(U44+V16+SUM(V23:V28)&lt;0,($B$6-$B$7)*1%+SUM($C$29:U29),0)),0)</f>
        <v>0</v>
      </c>
      <c r="W29" s="38"/>
      <c r="X29" s="38"/>
      <c r="Y29" s="38"/>
      <c r="Z29" s="38"/>
    </row>
    <row r="30" spans="1:26" s="44" customFormat="1" x14ac:dyDescent="0.2">
      <c r="A30" s="43" t="s">
        <v>41</v>
      </c>
      <c r="B30" s="49"/>
      <c r="C30" s="49">
        <f t="shared" ref="C30:Z30" si="17">B44+C16+C22</f>
        <v>0</v>
      </c>
      <c r="D30" s="49">
        <f t="shared" si="17"/>
        <v>0</v>
      </c>
      <c r="E30" s="49">
        <f t="shared" si="17"/>
        <v>0</v>
      </c>
      <c r="F30" s="49">
        <f t="shared" si="17"/>
        <v>0</v>
      </c>
      <c r="G30" s="49">
        <f t="shared" si="17"/>
        <v>0</v>
      </c>
      <c r="H30" s="49">
        <f t="shared" si="17"/>
        <v>0</v>
      </c>
      <c r="I30" s="49">
        <f t="shared" si="17"/>
        <v>0</v>
      </c>
      <c r="J30" s="49">
        <f t="shared" si="17"/>
        <v>0</v>
      </c>
      <c r="K30" s="49">
        <f t="shared" si="17"/>
        <v>0</v>
      </c>
      <c r="L30" s="49">
        <f t="shared" si="17"/>
        <v>0</v>
      </c>
      <c r="M30" s="49">
        <f t="shared" si="17"/>
        <v>0</v>
      </c>
      <c r="N30" s="49">
        <f t="shared" si="17"/>
        <v>-19913.127672365968</v>
      </c>
      <c r="O30" s="49">
        <f t="shared" si="17"/>
        <v>-15197.944544313825</v>
      </c>
      <c r="P30" s="49">
        <f t="shared" si="17"/>
        <v>-14823.848311932132</v>
      </c>
      <c r="Q30" s="49">
        <f t="shared" si="17"/>
        <v>-14423.433664706143</v>
      </c>
      <c r="R30" s="49">
        <f t="shared" si="17"/>
        <v>-13995.660907061436</v>
      </c>
      <c r="S30" s="49">
        <f t="shared" si="17"/>
        <v>76953.434036623046</v>
      </c>
      <c r="T30" s="49">
        <f t="shared" si="17"/>
        <v>85185.060943332966</v>
      </c>
      <c r="U30" s="49">
        <f t="shared" si="17"/>
        <v>72217.809584501942</v>
      </c>
      <c r="V30" s="49">
        <f t="shared" si="17"/>
        <v>87795.852251005388</v>
      </c>
      <c r="W30" s="49">
        <f t="shared" si="17"/>
        <v>0</v>
      </c>
      <c r="X30" s="49">
        <f t="shared" si="17"/>
        <v>0</v>
      </c>
      <c r="Y30" s="49">
        <f t="shared" si="17"/>
        <v>0</v>
      </c>
      <c r="Z30" s="49">
        <f t="shared" si="17"/>
        <v>0</v>
      </c>
    </row>
    <row r="31" spans="1:26" x14ac:dyDescent="0.2">
      <c r="A31" s="9" t="s">
        <v>61</v>
      </c>
      <c r="B31" s="4">
        <f>SUM(C31:Z31)</f>
        <v>-403870.48587841436</v>
      </c>
      <c r="C31" s="38">
        <f t="shared" ref="C31:Z31" si="18">IF(C12="С",-C17,0)</f>
        <v>0</v>
      </c>
      <c r="D31" s="38">
        <f t="shared" si="18"/>
        <v>0</v>
      </c>
      <c r="E31" s="38">
        <f t="shared" si="18"/>
        <v>0</v>
      </c>
      <c r="F31" s="38">
        <f t="shared" si="18"/>
        <v>0</v>
      </c>
      <c r="G31" s="38">
        <f t="shared" si="18"/>
        <v>0</v>
      </c>
      <c r="H31" s="38">
        <f t="shared" si="18"/>
        <v>0</v>
      </c>
      <c r="I31" s="38">
        <f t="shared" si="18"/>
        <v>0</v>
      </c>
      <c r="J31" s="38">
        <f t="shared" si="18"/>
        <v>0</v>
      </c>
      <c r="K31" s="38">
        <f t="shared" si="18"/>
        <v>0</v>
      </c>
      <c r="L31" s="38">
        <f t="shared" si="18"/>
        <v>0</v>
      </c>
      <c r="M31" s="38">
        <f t="shared" si="18"/>
        <v>0</v>
      </c>
      <c r="N31" s="38">
        <f t="shared" si="18"/>
        <v>-77220.12273475487</v>
      </c>
      <c r="O31" s="38">
        <f t="shared" si="18"/>
        <v>-78957.575496286852</v>
      </c>
      <c r="P31" s="38">
        <f t="shared" si="18"/>
        <v>-80734.120944953305</v>
      </c>
      <c r="Q31" s="38">
        <f t="shared" si="18"/>
        <v>-82550.638666214756</v>
      </c>
      <c r="R31" s="38">
        <f t="shared" si="18"/>
        <v>-84408.028036204589</v>
      </c>
      <c r="S31" s="38">
        <f t="shared" si="18"/>
        <v>0</v>
      </c>
      <c r="T31" s="38">
        <f t="shared" si="18"/>
        <v>0</v>
      </c>
      <c r="U31" s="38">
        <f t="shared" si="18"/>
        <v>0</v>
      </c>
      <c r="V31" s="38">
        <f t="shared" si="18"/>
        <v>0</v>
      </c>
      <c r="W31" s="38">
        <f t="shared" si="18"/>
        <v>0</v>
      </c>
      <c r="X31" s="38">
        <f t="shared" si="18"/>
        <v>0</v>
      </c>
      <c r="Y31" s="38">
        <f t="shared" si="18"/>
        <v>0</v>
      </c>
      <c r="Z31" s="38">
        <f t="shared" si="18"/>
        <v>0</v>
      </c>
    </row>
    <row r="32" spans="1:26" x14ac:dyDescent="0.2">
      <c r="A32" s="9" t="s">
        <v>26</v>
      </c>
      <c r="B32" s="4">
        <f>SUM(C32:Z32)</f>
        <v>403870.48587841436</v>
      </c>
      <c r="C32" s="38">
        <f>IF(C12="П",-B33,0)</f>
        <v>0</v>
      </c>
      <c r="D32" s="38">
        <f>IF(D12="П",-C33,0)</f>
        <v>0</v>
      </c>
      <c r="E32" s="38">
        <f t="shared" ref="E32:Z32" si="19">IF(E12="Э",-D33,0)</f>
        <v>0</v>
      </c>
      <c r="F32" s="38">
        <f t="shared" si="19"/>
        <v>0</v>
      </c>
      <c r="G32" s="38">
        <f t="shared" si="19"/>
        <v>0</v>
      </c>
      <c r="H32" s="38">
        <f t="shared" si="19"/>
        <v>0</v>
      </c>
      <c r="I32" s="38">
        <f t="shared" si="19"/>
        <v>0</v>
      </c>
      <c r="J32" s="38">
        <f t="shared" si="19"/>
        <v>0</v>
      </c>
      <c r="K32" s="38">
        <f t="shared" si="19"/>
        <v>0</v>
      </c>
      <c r="L32" s="38">
        <f t="shared" si="19"/>
        <v>0</v>
      </c>
      <c r="M32" s="38">
        <f t="shared" si="19"/>
        <v>0</v>
      </c>
      <c r="N32" s="38">
        <f t="shared" si="19"/>
        <v>0</v>
      </c>
      <c r="O32" s="38">
        <f t="shared" si="19"/>
        <v>0</v>
      </c>
      <c r="P32" s="38">
        <f t="shared" si="19"/>
        <v>0</v>
      </c>
      <c r="Q32" s="38">
        <f t="shared" si="19"/>
        <v>0</v>
      </c>
      <c r="R32" s="38">
        <f t="shared" si="19"/>
        <v>0</v>
      </c>
      <c r="S32" s="38">
        <f t="shared" si="19"/>
        <v>403870.48587841436</v>
      </c>
      <c r="T32" s="38">
        <f t="shared" si="19"/>
        <v>0</v>
      </c>
      <c r="U32" s="38">
        <f t="shared" si="19"/>
        <v>0</v>
      </c>
      <c r="V32" s="38">
        <f t="shared" si="19"/>
        <v>0</v>
      </c>
      <c r="W32" s="38">
        <f t="shared" si="19"/>
        <v>0</v>
      </c>
      <c r="X32" s="38">
        <f t="shared" si="19"/>
        <v>0</v>
      </c>
      <c r="Y32" s="38">
        <f t="shared" si="19"/>
        <v>0</v>
      </c>
      <c r="Z32" s="38">
        <f t="shared" si="19"/>
        <v>0</v>
      </c>
    </row>
    <row r="33" spans="1:26" x14ac:dyDescent="0.2">
      <c r="A33" s="29" t="s">
        <v>62</v>
      </c>
      <c r="B33" s="65"/>
      <c r="C33" s="42">
        <f t="shared" ref="C33:Z33" si="20">B33+C31+C32</f>
        <v>0</v>
      </c>
      <c r="D33" s="42">
        <f t="shared" si="20"/>
        <v>0</v>
      </c>
      <c r="E33" s="42">
        <f t="shared" si="20"/>
        <v>0</v>
      </c>
      <c r="F33" s="42">
        <f t="shared" si="20"/>
        <v>0</v>
      </c>
      <c r="G33" s="42">
        <f t="shared" si="20"/>
        <v>0</v>
      </c>
      <c r="H33" s="42">
        <f t="shared" si="20"/>
        <v>0</v>
      </c>
      <c r="I33" s="42">
        <f t="shared" si="20"/>
        <v>0</v>
      </c>
      <c r="J33" s="42">
        <f t="shared" si="20"/>
        <v>0</v>
      </c>
      <c r="K33" s="42">
        <f t="shared" si="20"/>
        <v>0</v>
      </c>
      <c r="L33" s="42">
        <f t="shared" si="20"/>
        <v>0</v>
      </c>
      <c r="M33" s="42">
        <f t="shared" si="20"/>
        <v>0</v>
      </c>
      <c r="N33" s="42">
        <f t="shared" si="20"/>
        <v>-77220.12273475487</v>
      </c>
      <c r="O33" s="42">
        <f t="shared" si="20"/>
        <v>-156177.69823104172</v>
      </c>
      <c r="P33" s="42">
        <f t="shared" si="20"/>
        <v>-236911.81917599501</v>
      </c>
      <c r="Q33" s="42">
        <f t="shared" si="20"/>
        <v>-319462.45784220978</v>
      </c>
      <c r="R33" s="42">
        <f t="shared" si="20"/>
        <v>-403870.48587841436</v>
      </c>
      <c r="S33" s="42">
        <f t="shared" si="20"/>
        <v>0</v>
      </c>
      <c r="T33" s="42">
        <f t="shared" si="20"/>
        <v>0</v>
      </c>
      <c r="U33" s="42">
        <f t="shared" si="20"/>
        <v>0</v>
      </c>
      <c r="V33" s="42">
        <f t="shared" si="20"/>
        <v>0</v>
      </c>
      <c r="W33" s="42">
        <f t="shared" si="20"/>
        <v>0</v>
      </c>
      <c r="X33" s="42">
        <f t="shared" si="20"/>
        <v>0</v>
      </c>
      <c r="Y33" s="42">
        <f t="shared" si="20"/>
        <v>0</v>
      </c>
      <c r="Z33" s="42">
        <f t="shared" si="20"/>
        <v>0</v>
      </c>
    </row>
    <row r="34" spans="1:26" s="44" customFormat="1" x14ac:dyDescent="0.2">
      <c r="A34" s="43" t="s">
        <v>27</v>
      </c>
      <c r="B34" s="49"/>
      <c r="C34" s="49">
        <f t="shared" ref="C34:Z34" si="21">C30+C31+C32</f>
        <v>0</v>
      </c>
      <c r="D34" s="49">
        <f t="shared" si="21"/>
        <v>0</v>
      </c>
      <c r="E34" s="49">
        <f t="shared" si="21"/>
        <v>0</v>
      </c>
      <c r="F34" s="49">
        <f t="shared" si="21"/>
        <v>0</v>
      </c>
      <c r="G34" s="49">
        <f t="shared" si="21"/>
        <v>0</v>
      </c>
      <c r="H34" s="49">
        <f t="shared" si="21"/>
        <v>0</v>
      </c>
      <c r="I34" s="49">
        <f t="shared" si="21"/>
        <v>0</v>
      </c>
      <c r="J34" s="49">
        <f t="shared" si="21"/>
        <v>0</v>
      </c>
      <c r="K34" s="49">
        <f t="shared" si="21"/>
        <v>0</v>
      </c>
      <c r="L34" s="49">
        <f t="shared" si="21"/>
        <v>0</v>
      </c>
      <c r="M34" s="49">
        <f t="shared" si="21"/>
        <v>0</v>
      </c>
      <c r="N34" s="49">
        <f t="shared" si="21"/>
        <v>-97133.250407120839</v>
      </c>
      <c r="O34" s="49">
        <f t="shared" si="21"/>
        <v>-94155.520040600677</v>
      </c>
      <c r="P34" s="49">
        <f t="shared" si="21"/>
        <v>-95557.969256885437</v>
      </c>
      <c r="Q34" s="49">
        <f t="shared" si="21"/>
        <v>-96974.072330920899</v>
      </c>
      <c r="R34" s="49">
        <f t="shared" si="21"/>
        <v>-98403.688943266025</v>
      </c>
      <c r="S34" s="49">
        <f t="shared" si="21"/>
        <v>480823.9199150374</v>
      </c>
      <c r="T34" s="49">
        <f t="shared" si="21"/>
        <v>85185.060943332966</v>
      </c>
      <c r="U34" s="49">
        <f t="shared" si="21"/>
        <v>72217.809584501942</v>
      </c>
      <c r="V34" s="49">
        <f t="shared" si="21"/>
        <v>87795.852251005388</v>
      </c>
      <c r="W34" s="49">
        <f t="shared" si="21"/>
        <v>0</v>
      </c>
      <c r="X34" s="49">
        <f t="shared" si="21"/>
        <v>0</v>
      </c>
      <c r="Y34" s="49">
        <f t="shared" si="21"/>
        <v>0</v>
      </c>
      <c r="Z34" s="49">
        <f t="shared" si="21"/>
        <v>0</v>
      </c>
    </row>
    <row r="35" spans="1:26" x14ac:dyDescent="0.2">
      <c r="A35" s="9" t="s">
        <v>42</v>
      </c>
      <c r="B35" s="4">
        <f>SUM(C35:Z35)</f>
        <v>482224.50097879383</v>
      </c>
      <c r="C35" s="38">
        <f t="shared" ref="C35:D35" si="22">IF(C34&lt;0,-C34,0)</f>
        <v>0</v>
      </c>
      <c r="D35" s="38">
        <f t="shared" si="22"/>
        <v>0</v>
      </c>
      <c r="E35" s="38">
        <f t="shared" ref="E35:Z35" si="23">IF(E12="С",IF(E34&lt;0,-E34,0),0)</f>
        <v>0</v>
      </c>
      <c r="F35" s="38">
        <f t="shared" si="23"/>
        <v>0</v>
      </c>
      <c r="G35" s="38">
        <f t="shared" si="23"/>
        <v>0</v>
      </c>
      <c r="H35" s="38">
        <f t="shared" si="23"/>
        <v>0</v>
      </c>
      <c r="I35" s="38">
        <f t="shared" si="23"/>
        <v>0</v>
      </c>
      <c r="J35" s="38">
        <f t="shared" si="23"/>
        <v>0</v>
      </c>
      <c r="K35" s="38">
        <f t="shared" si="23"/>
        <v>0</v>
      </c>
      <c r="L35" s="38">
        <f t="shared" si="23"/>
        <v>0</v>
      </c>
      <c r="M35" s="38">
        <f t="shared" si="23"/>
        <v>0</v>
      </c>
      <c r="N35" s="38">
        <f t="shared" si="23"/>
        <v>97133.250407120839</v>
      </c>
      <c r="O35" s="38">
        <f t="shared" si="23"/>
        <v>94155.520040600677</v>
      </c>
      <c r="P35" s="38">
        <f t="shared" si="23"/>
        <v>95557.969256885437</v>
      </c>
      <c r="Q35" s="38">
        <f t="shared" si="23"/>
        <v>96974.072330920899</v>
      </c>
      <c r="R35" s="38">
        <f t="shared" si="23"/>
        <v>98403.688943266025</v>
      </c>
      <c r="S35" s="38">
        <f t="shared" si="23"/>
        <v>0</v>
      </c>
      <c r="T35" s="38">
        <f t="shared" si="23"/>
        <v>0</v>
      </c>
      <c r="U35" s="38">
        <f t="shared" si="23"/>
        <v>0</v>
      </c>
      <c r="V35" s="38">
        <f t="shared" si="23"/>
        <v>0</v>
      </c>
      <c r="W35" s="38">
        <f t="shared" si="23"/>
        <v>0</v>
      </c>
      <c r="X35" s="38">
        <f t="shared" si="23"/>
        <v>0</v>
      </c>
      <c r="Y35" s="38">
        <f t="shared" si="23"/>
        <v>0</v>
      </c>
      <c r="Z35" s="38">
        <f t="shared" si="23"/>
        <v>0</v>
      </c>
    </row>
    <row r="36" spans="1:26" x14ac:dyDescent="0.2">
      <c r="A36" s="9" t="s">
        <v>43</v>
      </c>
      <c r="B36" s="4">
        <f>SUM(C36:Z36)</f>
        <v>-482224.50097879383</v>
      </c>
      <c r="C36" s="38">
        <f t="shared" ref="C36:Z36" si="24">IF(C34&gt;0,-MIN(B37,C34),0)</f>
        <v>0</v>
      </c>
      <c r="D36" s="38">
        <f t="shared" si="24"/>
        <v>0</v>
      </c>
      <c r="E36" s="38">
        <f t="shared" si="24"/>
        <v>0</v>
      </c>
      <c r="F36" s="38">
        <f t="shared" si="24"/>
        <v>0</v>
      </c>
      <c r="G36" s="38">
        <f t="shared" si="24"/>
        <v>0</v>
      </c>
      <c r="H36" s="38">
        <f t="shared" si="24"/>
        <v>0</v>
      </c>
      <c r="I36" s="38">
        <f t="shared" si="24"/>
        <v>0</v>
      </c>
      <c r="J36" s="38">
        <f t="shared" si="24"/>
        <v>0</v>
      </c>
      <c r="K36" s="38">
        <f t="shared" si="24"/>
        <v>0</v>
      </c>
      <c r="L36" s="38">
        <f t="shared" si="24"/>
        <v>0</v>
      </c>
      <c r="M36" s="38">
        <f t="shared" si="24"/>
        <v>0</v>
      </c>
      <c r="N36" s="38">
        <f t="shared" si="24"/>
        <v>0</v>
      </c>
      <c r="O36" s="38">
        <f t="shared" si="24"/>
        <v>0</v>
      </c>
      <c r="P36" s="38">
        <f t="shared" si="24"/>
        <v>0</v>
      </c>
      <c r="Q36" s="38">
        <f t="shared" si="24"/>
        <v>0</v>
      </c>
      <c r="R36" s="38">
        <f t="shared" si="24"/>
        <v>0</v>
      </c>
      <c r="S36" s="38">
        <f t="shared" si="24"/>
        <v>-480823.9199150374</v>
      </c>
      <c r="T36" s="38">
        <f t="shared" si="24"/>
        <v>-1400.5810637564282</v>
      </c>
      <c r="U36" s="38">
        <f t="shared" si="24"/>
        <v>0</v>
      </c>
      <c r="V36" s="38">
        <f t="shared" si="24"/>
        <v>0</v>
      </c>
      <c r="W36" s="38">
        <f t="shared" si="24"/>
        <v>0</v>
      </c>
      <c r="X36" s="38">
        <f t="shared" si="24"/>
        <v>0</v>
      </c>
      <c r="Y36" s="38">
        <f t="shared" si="24"/>
        <v>0</v>
      </c>
      <c r="Z36" s="38">
        <f t="shared" si="24"/>
        <v>0</v>
      </c>
    </row>
    <row r="37" spans="1:26" x14ac:dyDescent="0.2">
      <c r="A37" s="29" t="s">
        <v>4</v>
      </c>
      <c r="B37" s="65"/>
      <c r="C37" s="42">
        <f t="shared" ref="C37:Z37" si="25">B37+C35+C36</f>
        <v>0</v>
      </c>
      <c r="D37" s="42">
        <f t="shared" si="25"/>
        <v>0</v>
      </c>
      <c r="E37" s="42">
        <f t="shared" si="25"/>
        <v>0</v>
      </c>
      <c r="F37" s="42">
        <f t="shared" si="25"/>
        <v>0</v>
      </c>
      <c r="G37" s="42">
        <f t="shared" si="25"/>
        <v>0</v>
      </c>
      <c r="H37" s="42">
        <f t="shared" si="25"/>
        <v>0</v>
      </c>
      <c r="I37" s="42">
        <f t="shared" si="25"/>
        <v>0</v>
      </c>
      <c r="J37" s="42">
        <f t="shared" si="25"/>
        <v>0</v>
      </c>
      <c r="K37" s="42">
        <f t="shared" si="25"/>
        <v>0</v>
      </c>
      <c r="L37" s="42">
        <f t="shared" si="25"/>
        <v>0</v>
      </c>
      <c r="M37" s="42">
        <f t="shared" si="25"/>
        <v>0</v>
      </c>
      <c r="N37" s="42">
        <f t="shared" si="25"/>
        <v>97133.250407120839</v>
      </c>
      <c r="O37" s="42">
        <f t="shared" si="25"/>
        <v>191288.77044772153</v>
      </c>
      <c r="P37" s="42">
        <f t="shared" si="25"/>
        <v>286846.73970460694</v>
      </c>
      <c r="Q37" s="42">
        <f t="shared" si="25"/>
        <v>383820.81203552784</v>
      </c>
      <c r="R37" s="42">
        <f t="shared" si="25"/>
        <v>482224.50097879383</v>
      </c>
      <c r="S37" s="42">
        <f t="shared" si="25"/>
        <v>1400.5810637564282</v>
      </c>
      <c r="T37" s="42">
        <f t="shared" si="25"/>
        <v>0</v>
      </c>
      <c r="U37" s="42">
        <f t="shared" si="25"/>
        <v>0</v>
      </c>
      <c r="V37" s="42">
        <f t="shared" si="25"/>
        <v>0</v>
      </c>
      <c r="W37" s="42">
        <f t="shared" si="25"/>
        <v>0</v>
      </c>
      <c r="X37" s="42">
        <f t="shared" si="25"/>
        <v>0</v>
      </c>
      <c r="Y37" s="42">
        <f t="shared" si="25"/>
        <v>0</v>
      </c>
      <c r="Z37" s="42">
        <f t="shared" si="25"/>
        <v>0</v>
      </c>
    </row>
    <row r="38" spans="1:26" x14ac:dyDescent="0.2">
      <c r="A38" s="66" t="s">
        <v>28</v>
      </c>
      <c r="B38" s="65"/>
      <c r="C38" s="42">
        <f t="shared" ref="C38:Z38" si="26">C37+C33</f>
        <v>0</v>
      </c>
      <c r="D38" s="42">
        <f t="shared" si="26"/>
        <v>0</v>
      </c>
      <c r="E38" s="42">
        <f t="shared" si="26"/>
        <v>0</v>
      </c>
      <c r="F38" s="42">
        <f t="shared" si="26"/>
        <v>0</v>
      </c>
      <c r="G38" s="42">
        <f t="shared" si="26"/>
        <v>0</v>
      </c>
      <c r="H38" s="42">
        <f t="shared" si="26"/>
        <v>0</v>
      </c>
      <c r="I38" s="42">
        <f t="shared" si="26"/>
        <v>0</v>
      </c>
      <c r="J38" s="42">
        <f t="shared" si="26"/>
        <v>0</v>
      </c>
      <c r="K38" s="42">
        <f t="shared" si="26"/>
        <v>0</v>
      </c>
      <c r="L38" s="42">
        <f t="shared" si="26"/>
        <v>0</v>
      </c>
      <c r="M38" s="42">
        <f t="shared" si="26"/>
        <v>0</v>
      </c>
      <c r="N38" s="42">
        <f t="shared" si="26"/>
        <v>19913.127672365968</v>
      </c>
      <c r="O38" s="42">
        <f t="shared" si="26"/>
        <v>35111.072216679808</v>
      </c>
      <c r="P38" s="42">
        <f t="shared" si="26"/>
        <v>49934.920528611925</v>
      </c>
      <c r="Q38" s="42">
        <f t="shared" si="26"/>
        <v>64358.354193318053</v>
      </c>
      <c r="R38" s="42">
        <f t="shared" si="26"/>
        <v>78354.015100379474</v>
      </c>
      <c r="S38" s="42">
        <f t="shared" si="26"/>
        <v>1400.5810637564282</v>
      </c>
      <c r="T38" s="42">
        <f t="shared" si="26"/>
        <v>0</v>
      </c>
      <c r="U38" s="42">
        <f t="shared" si="26"/>
        <v>0</v>
      </c>
      <c r="V38" s="42">
        <f t="shared" si="26"/>
        <v>0</v>
      </c>
      <c r="W38" s="42">
        <f t="shared" si="26"/>
        <v>0</v>
      </c>
      <c r="X38" s="42">
        <f t="shared" si="26"/>
        <v>0</v>
      </c>
      <c r="Y38" s="42">
        <f t="shared" si="26"/>
        <v>0</v>
      </c>
      <c r="Z38" s="42">
        <f t="shared" si="26"/>
        <v>0</v>
      </c>
    </row>
    <row r="39" spans="1:26" x14ac:dyDescent="0.2">
      <c r="A39" s="29" t="s">
        <v>124</v>
      </c>
      <c r="B39" s="65"/>
      <c r="C39" s="128">
        <f>IF(B37&gt;0,IF(B37&gt;-B33,(-B33*'ИДиР (2)'!$B$21+(B37+B33)*'ИДиР (2)'!$B$20)/B37,MAX((B37*'ИДиР (2)'!$B$21-(-B33-B37)*'ИДиР (2)'!$B$22)/B37,0.01%)),0)</f>
        <v>0</v>
      </c>
      <c r="D39" s="128">
        <f>IF(C37&gt;0,IF(C37&gt;-C33,(-C33*'ИДиР (2)'!$B$21+(C37+C33)*'ИДиР (2)'!$B$20)/C37,MAX((C37*'ИДиР (2)'!$B$21-(-C33-C37)*'ИДиР (2)'!$B$22)/C37,0.01%)),0)</f>
        <v>0</v>
      </c>
      <c r="E39" s="128">
        <f>IF(D37&gt;0,IF(D37&gt;-D33,(-D33*'ИДиР (2)'!$B$21+(D37+D33)*'ИДиР (2)'!$B$20)/D37,MAX((D37*'ИДиР (2)'!$B$21-(-D33-D37)*'ИДиР (2)'!$B$22)/D37,0.01%)),0)</f>
        <v>0</v>
      </c>
      <c r="F39" s="128">
        <f>IF(E37&gt;0,IF(E37&gt;-E33,(-E33*'ИДиР (2)'!$B$21+(E37+E33)*'ИДиР (2)'!$B$20)/E37,MAX((E37*'ИДиР (2)'!$B$21-(-E33-E37)*'ИДиР (2)'!$B$22)/E37,0.01%)),0)</f>
        <v>0</v>
      </c>
      <c r="G39" s="128">
        <f>IF(F37&gt;0,IF(F37&gt;-F33,(-F33*'ИДиР (2)'!$B$21+(F37+F33)*'ИДиР (2)'!$B$20)/F37,MAX((F37*'ИДиР (2)'!$B$21-(-F33-F37)*'ИДиР (2)'!$B$22)/F37,0.01%)),0)</f>
        <v>0</v>
      </c>
      <c r="H39" s="128">
        <f>IF(G37&gt;0,IF(G37&gt;-G33,(-G33*'ИДиР (2)'!$B$21+(G37+G33)*'ИДиР (2)'!$B$20)/G37,MAX((G37*'ИДиР (2)'!$B$21-(-G33-G37)*'ИДиР (2)'!$B$22)/G37,0.01%)),0)</f>
        <v>0</v>
      </c>
      <c r="I39" s="128">
        <f>IF(H37&gt;0,IF(H37&gt;-H33,(-H33*'ИДиР (2)'!$B$21+(H37+H33)*'ИДиР (2)'!$B$20)/H37,MAX((H37*'ИДиР (2)'!$B$21-(-H33-H37)*'ИДиР (2)'!$B$22)/H37,0.01%)),0)</f>
        <v>0</v>
      </c>
      <c r="J39" s="128">
        <f>IF(I37&gt;0,IF(I37&gt;-I33,(-I33*'ИДиР (2)'!$B$21+(I37+I33)*'ИДиР (2)'!$B$20)/I37,MAX((I37*'ИДиР (2)'!$B$21-(-I33-I37)*'ИДиР (2)'!$B$22)/I37,0.01%)),0)</f>
        <v>0</v>
      </c>
      <c r="K39" s="128">
        <f>IF(J37&gt;0,IF(J37&gt;-J33,(-J33*'ИДиР (2)'!$B$21+(J37+J33)*'ИДиР (2)'!$B$20)/J37,MAX((J37*'ИДиР (2)'!$B$21-(-J33-J37)*'ИДиР (2)'!$B$22)/J37,0.01%)),0)</f>
        <v>0</v>
      </c>
      <c r="L39" s="128">
        <f>IF(K37&gt;0,IF(K37&gt;-K33,(-K33*'ИДиР (2)'!$B$21+(K37+K33)*'ИДиР (2)'!$B$20)/K37,MAX((K37*'ИДиР (2)'!$B$21-(-K33-K37)*'ИДиР (2)'!$B$22)/K37,0.01%)),0)</f>
        <v>0</v>
      </c>
      <c r="M39" s="128">
        <f>IF(L37&gt;0,IF(L37&gt;-L33,(-L33*'ИДиР (2)'!$B$21+(L37+L33)*'ИДиР (2)'!$B$20)/L37,MAX((L37*'ИДиР (2)'!$B$21-(-L33-L37)*'ИДиР (2)'!$B$22)/L37,0.01%)),0)</f>
        <v>0</v>
      </c>
      <c r="N39" s="128">
        <f>IF(M37&gt;0,IF(M37&gt;-M33,(-M33*'ИДиР (2)'!$B$21+(M37+M33)*'ИДиР (2)'!$B$20)/M37,MAX((M37*'ИДиР (2)'!$B$21-(-M33-M37)*'ИДиР (2)'!$B$22)/M37,0.01%)),0)</f>
        <v>0</v>
      </c>
      <c r="O39" s="128">
        <f>IF(N37&gt;0,IF(N37&gt;-N33,(-N33*'ИДиР (2)'!$B$21+(N37+N33)*'ИДиР (2)'!$B$20)/N37,MAX((N37*'ИДиР (2)'!$B$21-(-N33-N37)*'ИДиР (2)'!$B$22)/N37,0.01%)),0)</f>
        <v>6.0250417642209446E-2</v>
      </c>
      <c r="P39" s="128">
        <f>IF(O37&gt;0,IF(O37&gt;-O33,(-O33*'ИДиР (2)'!$B$21+(O37+O33)*'ИДиР (2)'!$B$20)/O37,MAX((O37*'ИДиР (2)'!$B$21-(-O33-O37)*'ИДиР (2)'!$B$22)/O37,0.01%)),0)</f>
        <v>5.9177504809744048E-2</v>
      </c>
      <c r="Q39" s="128">
        <f>IF(P37&gt;0,IF(P37&gt;-P33,(-P33*'ИДиР (2)'!$B$21+(P37+P33)*'ИДиР (2)'!$B$20)/P37,MAX((P37*'ИДиР (2)'!$B$21-(-P33-P37)*'ИДиР (2)'!$B$22)/P37,0.01%)),0)</f>
        <v>5.8704111571920709E-2</v>
      </c>
      <c r="R39" s="128">
        <f>IF(Q37&gt;0,IF(Q37&gt;-Q33,(-Q33*'ИДиР (2)'!$B$21+(Q37+Q33)*'ИДиР (2)'!$B$20)/Q37,MAX((Q37*'ИДиР (2)'!$B$21-(-Q33-Q37)*'ИДиР (2)'!$B$22)/Q37,0.01%)),0)</f>
        <v>5.838390626240466E-2</v>
      </c>
      <c r="S39" s="128">
        <f>IF(R37&gt;0,IF(R37&gt;-R33,(-R33*'ИДиР (2)'!$B$21+(R37+R33)*'ИДиР (2)'!$B$20)/R37,MAX((R37*'ИДиР (2)'!$B$21-(-R33-R37)*'ИДиР (2)'!$B$22)/R37,0.01%)),0)</f>
        <v>5.81242258472289E-2</v>
      </c>
      <c r="T39" s="128">
        <f>IF(S37&gt;0,IF(S37&gt;-S33,(-S33*'ИДиР (2)'!$B$21+(S37+S33)*'ИДиР (2)'!$B$20)/S37,MAX((S37*'ИДиР (2)'!$B$21-(-S33-S37)*'ИДиР (2)'!$B$22)/S37,0.01%)),0)</f>
        <v>0.1</v>
      </c>
      <c r="U39" s="128">
        <f>IF(T37&gt;0,IF(T37&gt;-T33,(-T33*'ИДиР (2)'!$B$21+(T37+T33)*'ИДиР (2)'!$B$20)/T37,MAX((T37*'ИДиР (2)'!$B$21-(-T33-T37)*'ИДиР (2)'!$B$22)/T37,0.01%)),0)</f>
        <v>0</v>
      </c>
      <c r="V39" s="128">
        <f>IF(U37&gt;0,IF(U37&gt;-U33,(-U33*'ИДиР (2)'!$B$21+(U37+U33)*'ИДиР (2)'!$B$20)/U37,MAX((U37*'ИДиР (2)'!$B$21-(-U33-U37)*'ИДиР (2)'!$B$22)/U37,0.01%)),0)</f>
        <v>0</v>
      </c>
      <c r="W39" s="42"/>
      <c r="X39" s="42"/>
      <c r="Y39" s="42"/>
      <c r="Z39" s="42"/>
    </row>
    <row r="40" spans="1:26" s="44" customFormat="1" x14ac:dyDescent="0.2">
      <c r="A40" s="43" t="s">
        <v>0</v>
      </c>
      <c r="B40" s="49"/>
      <c r="C40" s="49">
        <f t="shared" ref="C40:Z40" si="27">C34+C35+C36</f>
        <v>0</v>
      </c>
      <c r="D40" s="49">
        <f t="shared" si="27"/>
        <v>0</v>
      </c>
      <c r="E40" s="49">
        <f t="shared" si="27"/>
        <v>0</v>
      </c>
      <c r="F40" s="49">
        <f t="shared" si="27"/>
        <v>0</v>
      </c>
      <c r="G40" s="49">
        <f t="shared" si="27"/>
        <v>0</v>
      </c>
      <c r="H40" s="49">
        <f t="shared" si="27"/>
        <v>0</v>
      </c>
      <c r="I40" s="49">
        <f t="shared" si="27"/>
        <v>0</v>
      </c>
      <c r="J40" s="49">
        <f t="shared" si="27"/>
        <v>0</v>
      </c>
      <c r="K40" s="49">
        <f t="shared" si="27"/>
        <v>0</v>
      </c>
      <c r="L40" s="49">
        <f t="shared" si="27"/>
        <v>0</v>
      </c>
      <c r="M40" s="49">
        <f t="shared" si="27"/>
        <v>0</v>
      </c>
      <c r="N40" s="49">
        <f t="shared" si="27"/>
        <v>0</v>
      </c>
      <c r="O40" s="49">
        <f t="shared" si="27"/>
        <v>0</v>
      </c>
      <c r="P40" s="49">
        <f t="shared" si="27"/>
        <v>0</v>
      </c>
      <c r="Q40" s="49">
        <f t="shared" si="27"/>
        <v>0</v>
      </c>
      <c r="R40" s="49">
        <f t="shared" si="27"/>
        <v>0</v>
      </c>
      <c r="S40" s="49">
        <f t="shared" si="27"/>
        <v>0</v>
      </c>
      <c r="T40" s="49">
        <f t="shared" si="27"/>
        <v>83784.479879576538</v>
      </c>
      <c r="U40" s="49">
        <f t="shared" si="27"/>
        <v>72217.809584501942</v>
      </c>
      <c r="V40" s="49">
        <f t="shared" si="27"/>
        <v>87795.852251005388</v>
      </c>
      <c r="W40" s="49">
        <f t="shared" si="27"/>
        <v>0</v>
      </c>
      <c r="X40" s="49">
        <f t="shared" si="27"/>
        <v>0</v>
      </c>
      <c r="Y40" s="49">
        <f t="shared" si="27"/>
        <v>0</v>
      </c>
      <c r="Z40" s="49">
        <f t="shared" si="27"/>
        <v>0</v>
      </c>
    </row>
    <row r="41" spans="1:26" x14ac:dyDescent="0.2">
      <c r="A41" s="9" t="s">
        <v>5</v>
      </c>
      <c r="B41" s="4">
        <f>SUM(C41:Z41)</f>
        <v>-50128.485512882005</v>
      </c>
      <c r="C41" s="38">
        <f t="shared" ref="C41:Z41" si="28">C53</f>
        <v>0</v>
      </c>
      <c r="D41" s="38">
        <f t="shared" si="28"/>
        <v>0</v>
      </c>
      <c r="E41" s="38">
        <f t="shared" si="28"/>
        <v>0</v>
      </c>
      <c r="F41" s="38">
        <f t="shared" si="28"/>
        <v>0</v>
      </c>
      <c r="G41" s="38">
        <f t="shared" si="28"/>
        <v>0</v>
      </c>
      <c r="H41" s="38">
        <f t="shared" si="28"/>
        <v>0</v>
      </c>
      <c r="I41" s="38">
        <f t="shared" si="28"/>
        <v>0</v>
      </c>
      <c r="J41" s="38">
        <f t="shared" si="28"/>
        <v>0</v>
      </c>
      <c r="K41" s="38">
        <f t="shared" si="28"/>
        <v>0</v>
      </c>
      <c r="L41" s="38">
        <f t="shared" si="28"/>
        <v>0</v>
      </c>
      <c r="M41" s="38">
        <f t="shared" si="28"/>
        <v>0</v>
      </c>
      <c r="N41" s="38">
        <f t="shared" si="28"/>
        <v>0</v>
      </c>
      <c r="O41" s="38">
        <f>O53</f>
        <v>0</v>
      </c>
      <c r="P41" s="38">
        <f t="shared" si="28"/>
        <v>0</v>
      </c>
      <c r="Q41" s="38">
        <f t="shared" si="28"/>
        <v>0</v>
      </c>
      <c r="R41" s="38">
        <f t="shared" si="28"/>
        <v>0</v>
      </c>
      <c r="S41" s="38">
        <f t="shared" si="28"/>
        <v>0</v>
      </c>
      <c r="T41" s="38">
        <f t="shared" si="28"/>
        <v>-15058.790683872838</v>
      </c>
      <c r="U41" s="38">
        <f t="shared" si="28"/>
        <v>-17152.173961457051</v>
      </c>
      <c r="V41" s="38">
        <f t="shared" si="28"/>
        <v>-17917.520867552121</v>
      </c>
      <c r="W41" s="38">
        <f t="shared" si="28"/>
        <v>0</v>
      </c>
      <c r="X41" s="38">
        <f t="shared" si="28"/>
        <v>0</v>
      </c>
      <c r="Y41" s="38">
        <f t="shared" si="28"/>
        <v>0</v>
      </c>
      <c r="Z41" s="38">
        <f t="shared" si="28"/>
        <v>0</v>
      </c>
    </row>
    <row r="42" spans="1:26" s="44" customFormat="1" x14ac:dyDescent="0.2">
      <c r="A42" s="43" t="s">
        <v>29</v>
      </c>
      <c r="B42" s="49"/>
      <c r="C42" s="49">
        <f t="shared" ref="C42:Z42" si="29">C40+C41</f>
        <v>0</v>
      </c>
      <c r="D42" s="49">
        <f t="shared" si="29"/>
        <v>0</v>
      </c>
      <c r="E42" s="49">
        <f t="shared" si="29"/>
        <v>0</v>
      </c>
      <c r="F42" s="49">
        <f t="shared" si="29"/>
        <v>0</v>
      </c>
      <c r="G42" s="49">
        <f t="shared" si="29"/>
        <v>0</v>
      </c>
      <c r="H42" s="49">
        <f t="shared" si="29"/>
        <v>0</v>
      </c>
      <c r="I42" s="49">
        <f t="shared" si="29"/>
        <v>0</v>
      </c>
      <c r="J42" s="49">
        <f t="shared" si="29"/>
        <v>0</v>
      </c>
      <c r="K42" s="49">
        <f t="shared" si="29"/>
        <v>0</v>
      </c>
      <c r="L42" s="49">
        <f t="shared" si="29"/>
        <v>0</v>
      </c>
      <c r="M42" s="49">
        <f t="shared" si="29"/>
        <v>0</v>
      </c>
      <c r="N42" s="49">
        <f t="shared" si="29"/>
        <v>0</v>
      </c>
      <c r="O42" s="49">
        <f t="shared" si="29"/>
        <v>0</v>
      </c>
      <c r="P42" s="49">
        <f t="shared" si="29"/>
        <v>0</v>
      </c>
      <c r="Q42" s="49">
        <f t="shared" si="29"/>
        <v>0</v>
      </c>
      <c r="R42" s="49">
        <f t="shared" si="29"/>
        <v>0</v>
      </c>
      <c r="S42" s="49">
        <f t="shared" si="29"/>
        <v>0</v>
      </c>
      <c r="T42" s="49">
        <f t="shared" si="29"/>
        <v>68725.689195703701</v>
      </c>
      <c r="U42" s="49">
        <f t="shared" si="29"/>
        <v>55065.635623044887</v>
      </c>
      <c r="V42" s="49">
        <f t="shared" si="29"/>
        <v>69878.331383453275</v>
      </c>
      <c r="W42" s="49">
        <f t="shared" si="29"/>
        <v>0</v>
      </c>
      <c r="X42" s="49">
        <f t="shared" si="29"/>
        <v>0</v>
      </c>
      <c r="Y42" s="49">
        <f t="shared" si="29"/>
        <v>0</v>
      </c>
      <c r="Z42" s="49">
        <f t="shared" si="29"/>
        <v>0</v>
      </c>
    </row>
    <row r="43" spans="1:26" x14ac:dyDescent="0.2">
      <c r="A43" s="9" t="s">
        <v>30</v>
      </c>
      <c r="B43" s="4">
        <f>SUM(C43:Z43)</f>
        <v>-193669.65620220185</v>
      </c>
      <c r="C43" s="38">
        <f t="shared" ref="C43:Z43" si="30">IF(C42&gt;0,-C42,0)</f>
        <v>0</v>
      </c>
      <c r="D43" s="38">
        <f t="shared" si="30"/>
        <v>0</v>
      </c>
      <c r="E43" s="38">
        <f t="shared" si="30"/>
        <v>0</v>
      </c>
      <c r="F43" s="38">
        <f t="shared" si="30"/>
        <v>0</v>
      </c>
      <c r="G43" s="38">
        <f t="shared" si="30"/>
        <v>0</v>
      </c>
      <c r="H43" s="38">
        <f t="shared" si="30"/>
        <v>0</v>
      </c>
      <c r="I43" s="38">
        <f t="shared" si="30"/>
        <v>0</v>
      </c>
      <c r="J43" s="38">
        <f t="shared" si="30"/>
        <v>0</v>
      </c>
      <c r="K43" s="38">
        <f t="shared" si="30"/>
        <v>0</v>
      </c>
      <c r="L43" s="38">
        <f t="shared" si="30"/>
        <v>0</v>
      </c>
      <c r="M43" s="38">
        <f t="shared" si="30"/>
        <v>0</v>
      </c>
      <c r="N43" s="38">
        <f t="shared" si="30"/>
        <v>0</v>
      </c>
      <c r="O43" s="38">
        <f t="shared" si="30"/>
        <v>0</v>
      </c>
      <c r="P43" s="38">
        <f t="shared" si="30"/>
        <v>0</v>
      </c>
      <c r="Q43" s="38">
        <f t="shared" si="30"/>
        <v>0</v>
      </c>
      <c r="R43" s="38">
        <f t="shared" si="30"/>
        <v>0</v>
      </c>
      <c r="S43" s="38">
        <f t="shared" si="30"/>
        <v>0</v>
      </c>
      <c r="T43" s="38">
        <f t="shared" si="30"/>
        <v>-68725.689195703701</v>
      </c>
      <c r="U43" s="38">
        <f t="shared" si="30"/>
        <v>-55065.635623044887</v>
      </c>
      <c r="V43" s="38">
        <f t="shared" si="30"/>
        <v>-69878.331383453275</v>
      </c>
      <c r="W43" s="38">
        <f t="shared" si="30"/>
        <v>0</v>
      </c>
      <c r="X43" s="38">
        <f t="shared" si="30"/>
        <v>0</v>
      </c>
      <c r="Y43" s="38">
        <f t="shared" si="30"/>
        <v>0</v>
      </c>
      <c r="Z43" s="38">
        <f t="shared" si="30"/>
        <v>0</v>
      </c>
    </row>
    <row r="44" spans="1:26" s="44" customFormat="1" x14ac:dyDescent="0.2">
      <c r="A44" s="43" t="s">
        <v>31</v>
      </c>
      <c r="B44" s="49"/>
      <c r="C44" s="49">
        <f t="shared" ref="C44:Z44" si="31">C42+C43</f>
        <v>0</v>
      </c>
      <c r="D44" s="49">
        <f t="shared" si="31"/>
        <v>0</v>
      </c>
      <c r="E44" s="49">
        <f t="shared" si="31"/>
        <v>0</v>
      </c>
      <c r="F44" s="49">
        <f t="shared" si="31"/>
        <v>0</v>
      </c>
      <c r="G44" s="49">
        <f t="shared" si="31"/>
        <v>0</v>
      </c>
      <c r="H44" s="49">
        <f t="shared" si="31"/>
        <v>0</v>
      </c>
      <c r="I44" s="49">
        <f t="shared" si="31"/>
        <v>0</v>
      </c>
      <c r="J44" s="49">
        <f t="shared" si="31"/>
        <v>0</v>
      </c>
      <c r="K44" s="49">
        <f t="shared" si="31"/>
        <v>0</v>
      </c>
      <c r="L44" s="49">
        <f t="shared" si="31"/>
        <v>0</v>
      </c>
      <c r="M44" s="49">
        <f t="shared" si="31"/>
        <v>0</v>
      </c>
      <c r="N44" s="49">
        <f t="shared" si="31"/>
        <v>0</v>
      </c>
      <c r="O44" s="49">
        <f t="shared" si="31"/>
        <v>0</v>
      </c>
      <c r="P44" s="49">
        <f t="shared" si="31"/>
        <v>0</v>
      </c>
      <c r="Q44" s="49">
        <f t="shared" si="31"/>
        <v>0</v>
      </c>
      <c r="R44" s="49">
        <f t="shared" si="31"/>
        <v>0</v>
      </c>
      <c r="S44" s="49">
        <f t="shared" si="31"/>
        <v>0</v>
      </c>
      <c r="T44" s="49">
        <f t="shared" si="31"/>
        <v>0</v>
      </c>
      <c r="U44" s="49">
        <f t="shared" si="31"/>
        <v>0</v>
      </c>
      <c r="V44" s="49">
        <f t="shared" si="31"/>
        <v>0</v>
      </c>
      <c r="W44" s="49">
        <f t="shared" si="31"/>
        <v>0</v>
      </c>
      <c r="X44" s="49">
        <f t="shared" si="31"/>
        <v>0</v>
      </c>
      <c r="Y44" s="49">
        <f t="shared" si="31"/>
        <v>0</v>
      </c>
      <c r="Z44" s="49">
        <f t="shared" si="31"/>
        <v>0</v>
      </c>
    </row>
    <row r="45" spans="1:26" s="18" customFormat="1" x14ac:dyDescent="0.2">
      <c r="A45" s="16" t="s">
        <v>32</v>
      </c>
      <c r="B45" s="4">
        <f>SUM(C45:Z45)</f>
        <v>193669.65620220185</v>
      </c>
      <c r="C45" s="38">
        <f t="shared" ref="C45:Z45" si="32">C16+C22+C41+C31+C32</f>
        <v>0</v>
      </c>
      <c r="D45" s="38">
        <f t="shared" si="32"/>
        <v>0</v>
      </c>
      <c r="E45" s="38">
        <f t="shared" si="32"/>
        <v>0</v>
      </c>
      <c r="F45" s="38">
        <f t="shared" si="32"/>
        <v>0</v>
      </c>
      <c r="G45" s="38">
        <f t="shared" si="32"/>
        <v>0</v>
      </c>
      <c r="H45" s="38">
        <f t="shared" si="32"/>
        <v>0</v>
      </c>
      <c r="I45" s="38">
        <f t="shared" si="32"/>
        <v>0</v>
      </c>
      <c r="J45" s="38">
        <f t="shared" si="32"/>
        <v>0</v>
      </c>
      <c r="K45" s="38">
        <f t="shared" si="32"/>
        <v>0</v>
      </c>
      <c r="L45" s="38">
        <f t="shared" si="32"/>
        <v>0</v>
      </c>
      <c r="M45" s="38">
        <f t="shared" si="32"/>
        <v>0</v>
      </c>
      <c r="N45" s="38">
        <f t="shared" si="32"/>
        <v>-97133.250407120839</v>
      </c>
      <c r="O45" s="38">
        <f t="shared" si="32"/>
        <v>-94155.520040600677</v>
      </c>
      <c r="P45" s="38">
        <f t="shared" si="32"/>
        <v>-95557.969256885437</v>
      </c>
      <c r="Q45" s="38">
        <f t="shared" si="32"/>
        <v>-96974.072330920899</v>
      </c>
      <c r="R45" s="38">
        <f t="shared" si="32"/>
        <v>-98403.688943266025</v>
      </c>
      <c r="S45" s="38">
        <f t="shared" si="32"/>
        <v>480823.9199150374</v>
      </c>
      <c r="T45" s="38">
        <f t="shared" si="32"/>
        <v>70126.270259460129</v>
      </c>
      <c r="U45" s="38">
        <f t="shared" si="32"/>
        <v>55065.635623044887</v>
      </c>
      <c r="V45" s="38">
        <f t="shared" si="32"/>
        <v>69878.331383453275</v>
      </c>
      <c r="W45" s="38">
        <f t="shared" si="32"/>
        <v>0</v>
      </c>
      <c r="X45" s="38">
        <f t="shared" si="32"/>
        <v>0</v>
      </c>
      <c r="Y45" s="38">
        <f t="shared" si="32"/>
        <v>0</v>
      </c>
      <c r="Z45" s="38">
        <f t="shared" si="32"/>
        <v>0</v>
      </c>
    </row>
    <row r="46" spans="1:26" x14ac:dyDescent="0.2">
      <c r="A46" s="15" t="s">
        <v>50</v>
      </c>
      <c r="B46" s="19">
        <f>IFERROR(IRR(C45:Z45)*4,0)</f>
        <v>0.39168111767053926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x14ac:dyDescent="0.2">
      <c r="A47" s="21"/>
      <c r="B47" s="56"/>
      <c r="C47" s="56"/>
      <c r="D47" s="56"/>
      <c r="E47" s="56"/>
      <c r="F47" s="56"/>
      <c r="G47" s="57"/>
      <c r="H47" s="57"/>
      <c r="I47" s="57"/>
      <c r="J47" s="58"/>
      <c r="K47" s="58"/>
      <c r="L47" s="58"/>
      <c r="M47" s="58"/>
      <c r="N47" s="58"/>
      <c r="O47" s="58"/>
      <c r="P47" s="58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x14ac:dyDescent="0.2">
      <c r="A48" s="9" t="s">
        <v>51</v>
      </c>
      <c r="B48" s="4">
        <f>SUM(C48:Z48)</f>
        <v>754355.14895037422</v>
      </c>
      <c r="C48" s="38">
        <f t="shared" ref="C48:Z48" si="33">C17+C18</f>
        <v>0</v>
      </c>
      <c r="D48" s="38">
        <f t="shared" si="33"/>
        <v>0</v>
      </c>
      <c r="E48" s="38">
        <f t="shared" si="33"/>
        <v>0</v>
      </c>
      <c r="F48" s="38">
        <f t="shared" si="33"/>
        <v>0</v>
      </c>
      <c r="G48" s="38">
        <f t="shared" si="33"/>
        <v>0</v>
      </c>
      <c r="H48" s="38">
        <f t="shared" si="33"/>
        <v>0</v>
      </c>
      <c r="I48" s="38">
        <f t="shared" si="33"/>
        <v>0</v>
      </c>
      <c r="J48" s="38">
        <f t="shared" si="33"/>
        <v>0</v>
      </c>
      <c r="K48" s="38">
        <f t="shared" si="33"/>
        <v>0</v>
      </c>
      <c r="L48" s="38">
        <f t="shared" si="33"/>
        <v>0</v>
      </c>
      <c r="M48" s="38">
        <f t="shared" si="33"/>
        <v>0</v>
      </c>
      <c r="N48" s="38">
        <f t="shared" si="33"/>
        <v>77220.12273475487</v>
      </c>
      <c r="O48" s="38">
        <f t="shared" si="33"/>
        <v>78957.575496286852</v>
      </c>
      <c r="P48" s="38">
        <f t="shared" si="33"/>
        <v>80734.120944953305</v>
      </c>
      <c r="Q48" s="38">
        <f t="shared" si="33"/>
        <v>82550.638666214756</v>
      </c>
      <c r="R48" s="38">
        <f t="shared" si="33"/>
        <v>84408.028036204589</v>
      </c>
      <c r="S48" s="38">
        <f t="shared" si="33"/>
        <v>85674.148456747658</v>
      </c>
      <c r="T48" s="38">
        <f t="shared" si="33"/>
        <v>86959.260683598855</v>
      </c>
      <c r="U48" s="38">
        <f t="shared" si="33"/>
        <v>88263.649593852824</v>
      </c>
      <c r="V48" s="38">
        <f t="shared" si="33"/>
        <v>89587.604337760597</v>
      </c>
      <c r="W48" s="38">
        <f t="shared" si="33"/>
        <v>0</v>
      </c>
      <c r="X48" s="38">
        <f t="shared" si="33"/>
        <v>0</v>
      </c>
      <c r="Y48" s="38">
        <f t="shared" si="33"/>
        <v>0</v>
      </c>
      <c r="Z48" s="38">
        <f t="shared" si="33"/>
        <v>0</v>
      </c>
    </row>
    <row r="49" spans="1:26" x14ac:dyDescent="0.2">
      <c r="A49" s="9" t="s">
        <v>6</v>
      </c>
      <c r="B49" s="4">
        <f>SUM(C49:Z49)</f>
        <v>-503712.72138596425</v>
      </c>
      <c r="C49" s="38">
        <f t="shared" ref="C49:V49" si="34">C23+C25+C27+C28+C29</f>
        <v>0</v>
      </c>
      <c r="D49" s="38">
        <f t="shared" si="34"/>
        <v>0</v>
      </c>
      <c r="E49" s="38">
        <f t="shared" si="34"/>
        <v>0</v>
      </c>
      <c r="F49" s="38">
        <f t="shared" si="34"/>
        <v>0</v>
      </c>
      <c r="G49" s="38">
        <f t="shared" si="34"/>
        <v>0</v>
      </c>
      <c r="H49" s="38">
        <f t="shared" si="34"/>
        <v>0</v>
      </c>
      <c r="I49" s="38">
        <f t="shared" si="34"/>
        <v>0</v>
      </c>
      <c r="J49" s="38">
        <f t="shared" si="34"/>
        <v>0</v>
      </c>
      <c r="K49" s="38">
        <f t="shared" si="34"/>
        <v>0</v>
      </c>
      <c r="L49" s="38">
        <f t="shared" si="34"/>
        <v>-11777.787230906251</v>
      </c>
      <c r="M49" s="38">
        <f t="shared" si="34"/>
        <v>-11777.787230906251</v>
      </c>
      <c r="N49" s="38">
        <f t="shared" si="34"/>
        <v>-94881.853932180748</v>
      </c>
      <c r="O49" s="38">
        <f t="shared" si="34"/>
        <v>-91869.374510429945</v>
      </c>
      <c r="P49" s="38">
        <f t="shared" si="34"/>
        <v>-93236.292817741385</v>
      </c>
      <c r="Q49" s="38">
        <f t="shared" si="34"/>
        <v>-94616.065537351606</v>
      </c>
      <c r="R49" s="38">
        <f t="shared" si="34"/>
        <v>-96008.534362296938</v>
      </c>
      <c r="S49" s="38">
        <f t="shared" si="34"/>
        <v>-7007.2314509896669</v>
      </c>
      <c r="T49" s="38">
        <f t="shared" si="34"/>
        <v>-35.014526593910709</v>
      </c>
      <c r="U49" s="38">
        <f t="shared" si="34"/>
        <v>-2502.7797865675784</v>
      </c>
      <c r="V49" s="38">
        <f t="shared" si="34"/>
        <v>0</v>
      </c>
      <c r="W49" s="38">
        <f>W23+W25+W27</f>
        <v>0</v>
      </c>
      <c r="X49" s="38">
        <f>X23+X25+X27</f>
        <v>0</v>
      </c>
      <c r="Y49" s="38">
        <f>Y23+Y25+Y27</f>
        <v>0</v>
      </c>
      <c r="Z49" s="38">
        <f>Z23+Z25+Z27</f>
        <v>0</v>
      </c>
    </row>
    <row r="50" spans="1:26" x14ac:dyDescent="0.2">
      <c r="A50" s="9" t="s">
        <v>7</v>
      </c>
      <c r="B50" s="4">
        <f>SUM(C50:Z50)</f>
        <v>250642.42756441003</v>
      </c>
      <c r="C50" s="38">
        <f t="shared" ref="C50:Z50" si="35">C48+C49</f>
        <v>0</v>
      </c>
      <c r="D50" s="38">
        <f t="shared" si="35"/>
        <v>0</v>
      </c>
      <c r="E50" s="38">
        <f t="shared" si="35"/>
        <v>0</v>
      </c>
      <c r="F50" s="38">
        <f t="shared" si="35"/>
        <v>0</v>
      </c>
      <c r="G50" s="38">
        <f t="shared" si="35"/>
        <v>0</v>
      </c>
      <c r="H50" s="38">
        <f t="shared" si="35"/>
        <v>0</v>
      </c>
      <c r="I50" s="38">
        <f t="shared" si="35"/>
        <v>0</v>
      </c>
      <c r="J50" s="38">
        <f t="shared" si="35"/>
        <v>0</v>
      </c>
      <c r="K50" s="38">
        <f t="shared" si="35"/>
        <v>0</v>
      </c>
      <c r="L50" s="38">
        <f t="shared" si="35"/>
        <v>-11777.787230906251</v>
      </c>
      <c r="M50" s="38">
        <f t="shared" si="35"/>
        <v>-11777.787230906251</v>
      </c>
      <c r="N50" s="38">
        <f t="shared" si="35"/>
        <v>-17661.731197425877</v>
      </c>
      <c r="O50" s="38">
        <f t="shared" si="35"/>
        <v>-12911.799014143093</v>
      </c>
      <c r="P50" s="38">
        <f t="shared" si="35"/>
        <v>-12502.17187278808</v>
      </c>
      <c r="Q50" s="38">
        <f t="shared" si="35"/>
        <v>-12065.42687113685</v>
      </c>
      <c r="R50" s="38">
        <f t="shared" si="35"/>
        <v>-11600.506326092349</v>
      </c>
      <c r="S50" s="38">
        <f t="shared" si="35"/>
        <v>78666.91700575799</v>
      </c>
      <c r="T50" s="38">
        <f t="shared" si="35"/>
        <v>86924.246157004949</v>
      </c>
      <c r="U50" s="38">
        <f t="shared" si="35"/>
        <v>85760.869807285242</v>
      </c>
      <c r="V50" s="38">
        <f t="shared" si="35"/>
        <v>89587.604337760597</v>
      </c>
      <c r="W50" s="38">
        <f t="shared" si="35"/>
        <v>0</v>
      </c>
      <c r="X50" s="38">
        <f t="shared" si="35"/>
        <v>0</v>
      </c>
      <c r="Y50" s="38">
        <f t="shared" si="35"/>
        <v>0</v>
      </c>
      <c r="Z50" s="38">
        <f t="shared" si="35"/>
        <v>0</v>
      </c>
    </row>
    <row r="51" spans="1:26" x14ac:dyDescent="0.2">
      <c r="A51" s="9" t="s">
        <v>8</v>
      </c>
      <c r="B51" s="4"/>
      <c r="C51" s="38">
        <f t="shared" ref="C51:Z51" si="36">B51+C50</f>
        <v>0</v>
      </c>
      <c r="D51" s="38">
        <f t="shared" si="36"/>
        <v>0</v>
      </c>
      <c r="E51" s="38">
        <f t="shared" si="36"/>
        <v>0</v>
      </c>
      <c r="F51" s="38">
        <f t="shared" si="36"/>
        <v>0</v>
      </c>
      <c r="G51" s="38">
        <f t="shared" si="36"/>
        <v>0</v>
      </c>
      <c r="H51" s="38">
        <f t="shared" si="36"/>
        <v>0</v>
      </c>
      <c r="I51" s="38">
        <f t="shared" si="36"/>
        <v>0</v>
      </c>
      <c r="J51" s="38">
        <f t="shared" si="36"/>
        <v>0</v>
      </c>
      <c r="K51" s="38">
        <f t="shared" si="36"/>
        <v>0</v>
      </c>
      <c r="L51" s="38">
        <f t="shared" si="36"/>
        <v>-11777.787230906251</v>
      </c>
      <c r="M51" s="38">
        <f t="shared" si="36"/>
        <v>-23555.574461812503</v>
      </c>
      <c r="N51" s="38">
        <f t="shared" si="36"/>
        <v>-41217.30565923838</v>
      </c>
      <c r="O51" s="38">
        <f t="shared" si="36"/>
        <v>-54129.104673381473</v>
      </c>
      <c r="P51" s="38">
        <f t="shared" si="36"/>
        <v>-66631.276546169553</v>
      </c>
      <c r="Q51" s="38">
        <f t="shared" si="36"/>
        <v>-78696.703417306402</v>
      </c>
      <c r="R51" s="38">
        <f t="shared" si="36"/>
        <v>-90297.209743398751</v>
      </c>
      <c r="S51" s="38">
        <f t="shared" si="36"/>
        <v>-11630.292737640761</v>
      </c>
      <c r="T51" s="38">
        <f t="shared" si="36"/>
        <v>75293.953419364188</v>
      </c>
      <c r="U51" s="38">
        <f t="shared" si="36"/>
        <v>161054.82322664943</v>
      </c>
      <c r="V51" s="38">
        <f t="shared" si="36"/>
        <v>250642.42756441003</v>
      </c>
      <c r="W51" s="38">
        <f t="shared" si="36"/>
        <v>250642.42756441003</v>
      </c>
      <c r="X51" s="38">
        <f t="shared" si="36"/>
        <v>250642.42756441003</v>
      </c>
      <c r="Y51" s="38">
        <f t="shared" si="36"/>
        <v>250642.42756441003</v>
      </c>
      <c r="Z51" s="38">
        <f t="shared" si="36"/>
        <v>250642.42756441003</v>
      </c>
    </row>
    <row r="52" spans="1:26" x14ac:dyDescent="0.2">
      <c r="A52" s="9" t="s">
        <v>9</v>
      </c>
      <c r="B52" s="4">
        <f>SUM(C52:Z52)</f>
        <v>250642.42756441003</v>
      </c>
      <c r="C52" s="38">
        <f t="shared" ref="C52:Z52" si="37">MAX(MIN(C51,C50),0)</f>
        <v>0</v>
      </c>
      <c r="D52" s="38">
        <f t="shared" si="37"/>
        <v>0</v>
      </c>
      <c r="E52" s="38">
        <f t="shared" si="37"/>
        <v>0</v>
      </c>
      <c r="F52" s="38">
        <f t="shared" si="37"/>
        <v>0</v>
      </c>
      <c r="G52" s="38">
        <f t="shared" si="37"/>
        <v>0</v>
      </c>
      <c r="H52" s="38">
        <f t="shared" si="37"/>
        <v>0</v>
      </c>
      <c r="I52" s="38">
        <f t="shared" si="37"/>
        <v>0</v>
      </c>
      <c r="J52" s="38">
        <f t="shared" si="37"/>
        <v>0</v>
      </c>
      <c r="K52" s="38">
        <f t="shared" si="37"/>
        <v>0</v>
      </c>
      <c r="L52" s="38">
        <f t="shared" si="37"/>
        <v>0</v>
      </c>
      <c r="M52" s="38">
        <f t="shared" si="37"/>
        <v>0</v>
      </c>
      <c r="N52" s="38">
        <f t="shared" si="37"/>
        <v>0</v>
      </c>
      <c r="O52" s="38">
        <f t="shared" si="37"/>
        <v>0</v>
      </c>
      <c r="P52" s="38">
        <f t="shared" si="37"/>
        <v>0</v>
      </c>
      <c r="Q52" s="38">
        <f t="shared" si="37"/>
        <v>0</v>
      </c>
      <c r="R52" s="38">
        <f t="shared" si="37"/>
        <v>0</v>
      </c>
      <c r="S52" s="38">
        <f t="shared" si="37"/>
        <v>0</v>
      </c>
      <c r="T52" s="38">
        <f t="shared" si="37"/>
        <v>75293.953419364188</v>
      </c>
      <c r="U52" s="38">
        <f t="shared" si="37"/>
        <v>85760.869807285242</v>
      </c>
      <c r="V52" s="38">
        <f t="shared" si="37"/>
        <v>89587.604337760597</v>
      </c>
      <c r="W52" s="38">
        <f t="shared" si="37"/>
        <v>0</v>
      </c>
      <c r="X52" s="38">
        <f t="shared" si="37"/>
        <v>0</v>
      </c>
      <c r="Y52" s="38">
        <f t="shared" si="37"/>
        <v>0</v>
      </c>
      <c r="Z52" s="38">
        <f t="shared" si="37"/>
        <v>0</v>
      </c>
    </row>
    <row r="53" spans="1:26" x14ac:dyDescent="0.2">
      <c r="A53" s="9" t="s">
        <v>10</v>
      </c>
      <c r="B53" s="4">
        <f>SUM(C53:Z53)</f>
        <v>-50128.485512882005</v>
      </c>
      <c r="C53" s="38">
        <f t="shared" ref="C53:Q53" si="38">-C52*0.2</f>
        <v>0</v>
      </c>
      <c r="D53" s="38">
        <f t="shared" si="38"/>
        <v>0</v>
      </c>
      <c r="E53" s="38">
        <f t="shared" si="38"/>
        <v>0</v>
      </c>
      <c r="F53" s="38">
        <f t="shared" si="38"/>
        <v>0</v>
      </c>
      <c r="G53" s="38">
        <f t="shared" si="38"/>
        <v>0</v>
      </c>
      <c r="H53" s="38">
        <f t="shared" si="38"/>
        <v>0</v>
      </c>
      <c r="I53" s="38">
        <f t="shared" si="38"/>
        <v>0</v>
      </c>
      <c r="J53" s="38">
        <f t="shared" si="38"/>
        <v>0</v>
      </c>
      <c r="K53" s="38">
        <f t="shared" si="38"/>
        <v>0</v>
      </c>
      <c r="L53" s="38">
        <f t="shared" si="38"/>
        <v>0</v>
      </c>
      <c r="M53" s="38">
        <f t="shared" si="38"/>
        <v>0</v>
      </c>
      <c r="N53" s="38">
        <f t="shared" si="38"/>
        <v>0</v>
      </c>
      <c r="O53" s="38">
        <f>-O52*0.2</f>
        <v>0</v>
      </c>
      <c r="P53" s="38">
        <f t="shared" si="38"/>
        <v>0</v>
      </c>
      <c r="Q53" s="38">
        <f t="shared" si="38"/>
        <v>0</v>
      </c>
      <c r="R53" s="38">
        <f>-R52*0.2</f>
        <v>0</v>
      </c>
      <c r="S53" s="38">
        <f t="shared" ref="S53:Z53" si="39">-S52*0.2</f>
        <v>0</v>
      </c>
      <c r="T53" s="38">
        <f t="shared" si="39"/>
        <v>-15058.790683872838</v>
      </c>
      <c r="U53" s="38">
        <f t="shared" si="39"/>
        <v>-17152.173961457051</v>
      </c>
      <c r="V53" s="38">
        <f t="shared" si="39"/>
        <v>-17917.520867552121</v>
      </c>
      <c r="W53" s="38">
        <f t="shared" si="39"/>
        <v>0</v>
      </c>
      <c r="X53" s="38">
        <f t="shared" si="39"/>
        <v>0</v>
      </c>
      <c r="Y53" s="38">
        <f t="shared" si="39"/>
        <v>0</v>
      </c>
      <c r="Z53" s="38">
        <f t="shared" si="39"/>
        <v>0</v>
      </c>
    </row>
    <row r="54" spans="1:26" x14ac:dyDescent="0.2">
      <c r="A54" s="9" t="s">
        <v>11</v>
      </c>
      <c r="B54" s="4">
        <f>SUM(C54:Z54)</f>
        <v>200513.94205152802</v>
      </c>
      <c r="C54" s="38">
        <f t="shared" ref="C54:Z54" si="40">C50+C53</f>
        <v>0</v>
      </c>
      <c r="D54" s="38">
        <f t="shared" si="40"/>
        <v>0</v>
      </c>
      <c r="E54" s="38">
        <f t="shared" si="40"/>
        <v>0</v>
      </c>
      <c r="F54" s="38">
        <f t="shared" si="40"/>
        <v>0</v>
      </c>
      <c r="G54" s="38">
        <f t="shared" si="40"/>
        <v>0</v>
      </c>
      <c r="H54" s="38">
        <f t="shared" si="40"/>
        <v>0</v>
      </c>
      <c r="I54" s="38">
        <f t="shared" si="40"/>
        <v>0</v>
      </c>
      <c r="J54" s="38">
        <f t="shared" si="40"/>
        <v>0</v>
      </c>
      <c r="K54" s="38">
        <f t="shared" si="40"/>
        <v>0</v>
      </c>
      <c r="L54" s="38">
        <f t="shared" si="40"/>
        <v>-11777.787230906251</v>
      </c>
      <c r="M54" s="38">
        <f t="shared" si="40"/>
        <v>-11777.787230906251</v>
      </c>
      <c r="N54" s="38">
        <f t="shared" si="40"/>
        <v>-17661.731197425877</v>
      </c>
      <c r="O54" s="38">
        <f t="shared" si="40"/>
        <v>-12911.799014143093</v>
      </c>
      <c r="P54" s="38">
        <f t="shared" si="40"/>
        <v>-12502.17187278808</v>
      </c>
      <c r="Q54" s="38">
        <f t="shared" si="40"/>
        <v>-12065.42687113685</v>
      </c>
      <c r="R54" s="38">
        <f t="shared" si="40"/>
        <v>-11600.506326092349</v>
      </c>
      <c r="S54" s="38">
        <f t="shared" si="40"/>
        <v>78666.91700575799</v>
      </c>
      <c r="T54" s="38">
        <f t="shared" si="40"/>
        <v>71865.455473132111</v>
      </c>
      <c r="U54" s="38">
        <f t="shared" si="40"/>
        <v>68608.695845828188</v>
      </c>
      <c r="V54" s="38">
        <f t="shared" si="40"/>
        <v>71670.083470208483</v>
      </c>
      <c r="W54" s="38">
        <f t="shared" si="40"/>
        <v>0</v>
      </c>
      <c r="X54" s="38">
        <f t="shared" si="40"/>
        <v>0</v>
      </c>
      <c r="Y54" s="38">
        <f t="shared" si="40"/>
        <v>0</v>
      </c>
      <c r="Z54" s="38">
        <f t="shared" si="40"/>
        <v>0</v>
      </c>
    </row>
    <row r="55" spans="1:26" x14ac:dyDescent="0.2">
      <c r="A55" s="9" t="s">
        <v>8</v>
      </c>
      <c r="B55" s="4"/>
      <c r="C55" s="38">
        <f t="shared" ref="C55:Z55" si="41">B55+C54</f>
        <v>0</v>
      </c>
      <c r="D55" s="38">
        <f t="shared" si="41"/>
        <v>0</v>
      </c>
      <c r="E55" s="38">
        <f t="shared" si="41"/>
        <v>0</v>
      </c>
      <c r="F55" s="38">
        <f t="shared" si="41"/>
        <v>0</v>
      </c>
      <c r="G55" s="38">
        <f t="shared" si="41"/>
        <v>0</v>
      </c>
      <c r="H55" s="38">
        <f t="shared" si="41"/>
        <v>0</v>
      </c>
      <c r="I55" s="38">
        <f t="shared" si="41"/>
        <v>0</v>
      </c>
      <c r="J55" s="38">
        <f t="shared" si="41"/>
        <v>0</v>
      </c>
      <c r="K55" s="38">
        <f t="shared" si="41"/>
        <v>0</v>
      </c>
      <c r="L55" s="38">
        <f t="shared" si="41"/>
        <v>-11777.787230906251</v>
      </c>
      <c r="M55" s="38">
        <f t="shared" si="41"/>
        <v>-23555.574461812503</v>
      </c>
      <c r="N55" s="38">
        <f t="shared" si="41"/>
        <v>-41217.30565923838</v>
      </c>
      <c r="O55" s="38">
        <f t="shared" si="41"/>
        <v>-54129.104673381473</v>
      </c>
      <c r="P55" s="38">
        <f t="shared" si="41"/>
        <v>-66631.276546169553</v>
      </c>
      <c r="Q55" s="38">
        <f t="shared" si="41"/>
        <v>-78696.703417306402</v>
      </c>
      <c r="R55" s="38">
        <f t="shared" si="41"/>
        <v>-90297.209743398751</v>
      </c>
      <c r="S55" s="38">
        <f t="shared" si="41"/>
        <v>-11630.292737640761</v>
      </c>
      <c r="T55" s="38">
        <f t="shared" si="41"/>
        <v>60235.162735491351</v>
      </c>
      <c r="U55" s="38">
        <f t="shared" si="41"/>
        <v>128843.85858131954</v>
      </c>
      <c r="V55" s="38">
        <f t="shared" si="41"/>
        <v>200513.94205152802</v>
      </c>
      <c r="W55" s="38">
        <f t="shared" si="41"/>
        <v>200513.94205152802</v>
      </c>
      <c r="X55" s="38">
        <f t="shared" si="41"/>
        <v>200513.94205152802</v>
      </c>
      <c r="Y55" s="38">
        <f t="shared" si="41"/>
        <v>200513.94205152802</v>
      </c>
      <c r="Z55" s="38">
        <f t="shared" si="41"/>
        <v>200513.94205152802</v>
      </c>
    </row>
    <row r="56" spans="1:26" x14ac:dyDescent="0.2">
      <c r="A56" s="21"/>
      <c r="B56" s="22">
        <f>IFERROR(B53/B52,0)</f>
        <v>-0.2</v>
      </c>
      <c r="C56" s="22"/>
      <c r="D56" s="22"/>
      <c r="E56" s="22"/>
      <c r="F56" s="22"/>
      <c r="G56" s="23"/>
      <c r="H56" s="23"/>
      <c r="I56" s="23"/>
      <c r="J56" s="24"/>
      <c r="K56" s="24"/>
      <c r="L56" s="24"/>
      <c r="M56" s="24"/>
      <c r="N56" s="24"/>
      <c r="O56" s="24"/>
      <c r="P56" s="24"/>
    </row>
    <row r="57" spans="1:26" hidden="1" x14ac:dyDescent="0.2"/>
    <row r="58" spans="1:26" hidden="1" x14ac:dyDescent="0.2"/>
    <row r="59" spans="1:26" x14ac:dyDescent="0.2"/>
    <row r="60" spans="1:26" x14ac:dyDescent="0.2"/>
  </sheetData>
  <mergeCells count="6">
    <mergeCell ref="W10:Z10"/>
    <mergeCell ref="C10:F10"/>
    <mergeCell ref="G10:J10"/>
    <mergeCell ref="K10:N10"/>
    <mergeCell ref="O10:R10"/>
    <mergeCell ref="S10:V10"/>
  </mergeCells>
  <conditionalFormatting sqref="B33:Z33">
    <cfRule type="cellIs" dxfId="60" priority="49" operator="equal">
      <formula>0</formula>
    </cfRule>
  </conditionalFormatting>
  <conditionalFormatting sqref="W23:Z23">
    <cfRule type="cellIs" dxfId="59" priority="48" operator="equal">
      <formula>0</formula>
    </cfRule>
  </conditionalFormatting>
  <conditionalFormatting sqref="W25:Z25">
    <cfRule type="cellIs" dxfId="58" priority="47" operator="equal">
      <formula>0</formula>
    </cfRule>
  </conditionalFormatting>
  <conditionalFormatting sqref="W26:Z26">
    <cfRule type="cellIs" dxfId="57" priority="46" operator="equal">
      <formula>0</formula>
    </cfRule>
  </conditionalFormatting>
  <conditionalFormatting sqref="B31:Z31">
    <cfRule type="cellIs" dxfId="56" priority="60" operator="equal">
      <formula>0</formula>
    </cfRule>
  </conditionalFormatting>
  <conditionalFormatting sqref="B32:Z32">
    <cfRule type="cellIs" dxfId="55" priority="59" operator="equal">
      <formula>0</formula>
    </cfRule>
  </conditionalFormatting>
  <conditionalFormatting sqref="B35:Z35">
    <cfRule type="cellIs" dxfId="54" priority="58" operator="equal">
      <formula>0</formula>
    </cfRule>
  </conditionalFormatting>
  <conditionalFormatting sqref="B36:Z36">
    <cfRule type="cellIs" dxfId="53" priority="57" operator="equal">
      <formula>0</formula>
    </cfRule>
  </conditionalFormatting>
  <conditionalFormatting sqref="B37:Z37">
    <cfRule type="cellIs" dxfId="52" priority="56" operator="equal">
      <formula>0</formula>
    </cfRule>
  </conditionalFormatting>
  <conditionalFormatting sqref="B38:Z38 W39:Z39">
    <cfRule type="cellIs" dxfId="51" priority="55" operator="equal">
      <formula>0</formula>
    </cfRule>
  </conditionalFormatting>
  <conditionalFormatting sqref="B41:Z41">
    <cfRule type="cellIs" dxfId="50" priority="54" operator="equal">
      <formula>0</formula>
    </cfRule>
  </conditionalFormatting>
  <conditionalFormatting sqref="B43:Z43">
    <cfRule type="cellIs" dxfId="49" priority="53" operator="equal">
      <formula>0</formula>
    </cfRule>
  </conditionalFormatting>
  <conditionalFormatting sqref="B45:Z45">
    <cfRule type="cellIs" dxfId="48" priority="52" operator="equal">
      <formula>0</formula>
    </cfRule>
  </conditionalFormatting>
  <conditionalFormatting sqref="C46:Z46">
    <cfRule type="cellIs" dxfId="47" priority="51" operator="equal">
      <formula>0</formula>
    </cfRule>
  </conditionalFormatting>
  <conditionalFormatting sqref="C48:Z48 C50:Z55 W49:Z49">
    <cfRule type="cellIs" dxfId="46" priority="50" operator="equal">
      <formula>0</formula>
    </cfRule>
  </conditionalFormatting>
  <conditionalFormatting sqref="B17:Z17 B19:Z21 B18:F18">
    <cfRule type="cellIs" dxfId="45" priority="61" operator="equal">
      <formula>0</formula>
    </cfRule>
  </conditionalFormatting>
  <conditionalFormatting sqref="W27:Z29">
    <cfRule type="cellIs" dxfId="44" priority="45" operator="equal">
      <formula>0</formula>
    </cfRule>
  </conditionalFormatting>
  <conditionalFormatting sqref="C18:Z18">
    <cfRule type="cellIs" dxfId="43" priority="44" operator="equal">
      <formula>0</formula>
    </cfRule>
  </conditionalFormatting>
  <conditionalFormatting sqref="B39:V39">
    <cfRule type="cellIs" dxfId="42" priority="43" operator="equal">
      <formula>0</formula>
    </cfRule>
  </conditionalFormatting>
  <conditionalFormatting sqref="B23:F23">
    <cfRule type="cellIs" dxfId="41" priority="42" operator="equal">
      <formula>0</formula>
    </cfRule>
  </conditionalFormatting>
  <conditionalFormatting sqref="B25:F25">
    <cfRule type="cellIs" dxfId="40" priority="41" operator="equal">
      <formula>0</formula>
    </cfRule>
  </conditionalFormatting>
  <conditionalFormatting sqref="B26:F26">
    <cfRule type="cellIs" dxfId="39" priority="40" operator="equal">
      <formula>0</formula>
    </cfRule>
  </conditionalFormatting>
  <conditionalFormatting sqref="B27:F27 B28:C28 B29">
    <cfRule type="cellIs" dxfId="38" priority="39" operator="equal">
      <formula>0</formula>
    </cfRule>
  </conditionalFormatting>
  <conditionalFormatting sqref="G23:V23">
    <cfRule type="cellIs" dxfId="37" priority="38" operator="equal">
      <formula>0</formula>
    </cfRule>
  </conditionalFormatting>
  <conditionalFormatting sqref="C25:V25">
    <cfRule type="cellIs" dxfId="36" priority="37" operator="equal">
      <formula>0</formula>
    </cfRule>
  </conditionalFormatting>
  <conditionalFormatting sqref="G26:V26">
    <cfRule type="cellIs" dxfId="35" priority="36" operator="equal">
      <formula>0</formula>
    </cfRule>
  </conditionalFormatting>
  <conditionalFormatting sqref="G27:V27 D28:V29">
    <cfRule type="cellIs" dxfId="34" priority="35" operator="equal">
      <formula>0</formula>
    </cfRule>
  </conditionalFormatting>
  <conditionalFormatting sqref="C29">
    <cfRule type="cellIs" dxfId="33" priority="31" operator="equal">
      <formula>0</formula>
    </cfRule>
  </conditionalFormatting>
  <conditionalFormatting sqref="F29">
    <cfRule type="cellIs" dxfId="32" priority="34" operator="equal">
      <formula>0</formula>
    </cfRule>
  </conditionalFormatting>
  <conditionalFormatting sqref="E29">
    <cfRule type="cellIs" dxfId="31" priority="33" operator="equal">
      <formula>0</formula>
    </cfRule>
  </conditionalFormatting>
  <conditionalFormatting sqref="D29">
    <cfRule type="cellIs" dxfId="30" priority="32" operator="equal">
      <formula>0</formula>
    </cfRule>
  </conditionalFormatting>
  <conditionalFormatting sqref="D28">
    <cfRule type="cellIs" dxfId="29" priority="28" operator="equal">
      <formula>0</formula>
    </cfRule>
  </conditionalFormatting>
  <conditionalFormatting sqref="F28">
    <cfRule type="cellIs" dxfId="28" priority="30" operator="equal">
      <formula>0</formula>
    </cfRule>
  </conditionalFormatting>
  <conditionalFormatting sqref="E28">
    <cfRule type="cellIs" dxfId="27" priority="29" operator="equal">
      <formula>0</formula>
    </cfRule>
  </conditionalFormatting>
  <conditionalFormatting sqref="C49:V49">
    <cfRule type="cellIs" dxfId="26" priority="27" operator="equal">
      <formula>0</formula>
    </cfRule>
  </conditionalFormatting>
  <conditionalFormatting sqref="B24">
    <cfRule type="cellIs" dxfId="25" priority="26" operator="equal">
      <formula>0</formula>
    </cfRule>
  </conditionalFormatting>
  <conditionalFormatting sqref="B48 B50:B55">
    <cfRule type="cellIs" dxfId="24" priority="19" operator="equal">
      <formula>0</formula>
    </cfRule>
  </conditionalFormatting>
  <conditionalFormatting sqref="B49">
    <cfRule type="cellIs" dxfId="23" priority="18" operator="equal">
      <formula>0</formula>
    </cfRule>
  </conditionalFormatting>
  <conditionalFormatting sqref="W24:Z24">
    <cfRule type="cellIs" dxfId="22" priority="25" operator="equal">
      <formula>0</formula>
    </cfRule>
  </conditionalFormatting>
  <conditionalFormatting sqref="S24:V24">
    <cfRule type="cellIs" dxfId="21" priority="15" operator="equal">
      <formula>0</formula>
    </cfRule>
  </conditionalFormatting>
  <conditionalFormatting sqref="W24:Z24">
    <cfRule type="cellIs" dxfId="20" priority="24" operator="equal">
      <formula>0</formula>
    </cfRule>
  </conditionalFormatting>
  <conditionalFormatting sqref="W24:Z24">
    <cfRule type="cellIs" dxfId="19" priority="23" operator="equal">
      <formula>0</formula>
    </cfRule>
  </conditionalFormatting>
  <conditionalFormatting sqref="W24:Z24">
    <cfRule type="cellIs" dxfId="18" priority="22" operator="equal">
      <formula>0</formula>
    </cfRule>
  </conditionalFormatting>
  <conditionalFormatting sqref="C24:V24">
    <cfRule type="cellIs" dxfId="17" priority="11" operator="equal">
      <formula>0</formula>
    </cfRule>
  </conditionalFormatting>
  <conditionalFormatting sqref="C24:V24">
    <cfRule type="cellIs" dxfId="16" priority="10" operator="equal">
      <formula>0</formula>
    </cfRule>
  </conditionalFormatting>
  <conditionalFormatting sqref="C24:V24">
    <cfRule type="cellIs" dxfId="15" priority="9" operator="equal">
      <formula>0</formula>
    </cfRule>
  </conditionalFormatting>
  <conditionalFormatting sqref="G24">
    <cfRule type="cellIs" dxfId="14" priority="8" operator="equal">
      <formula>0</formula>
    </cfRule>
  </conditionalFormatting>
  <conditionalFormatting sqref="H24">
    <cfRule type="cellIs" dxfId="13" priority="7" operator="equal">
      <formula>0</formula>
    </cfRule>
  </conditionalFormatting>
  <conditionalFormatting sqref="I24">
    <cfRule type="cellIs" dxfId="12" priority="6" operator="equal">
      <formula>0</formula>
    </cfRule>
  </conditionalFormatting>
  <conditionalFormatting sqref="W24:Z24">
    <cfRule type="cellIs" dxfId="11" priority="21" operator="equal">
      <formula>0</formula>
    </cfRule>
  </conditionalFormatting>
  <conditionalFormatting sqref="B46">
    <cfRule type="cellIs" dxfId="10" priority="20" operator="equal">
      <formula>0</formula>
    </cfRule>
  </conditionalFormatting>
  <conditionalFormatting sqref="S24:V24">
    <cfRule type="cellIs" dxfId="9" priority="17" operator="equal">
      <formula>0</formula>
    </cfRule>
  </conditionalFormatting>
  <conditionalFormatting sqref="S24:V24">
    <cfRule type="cellIs" dxfId="8" priority="16" operator="equal">
      <formula>0</formula>
    </cfRule>
  </conditionalFormatting>
  <conditionalFormatting sqref="S24:V24">
    <cfRule type="cellIs" dxfId="7" priority="14" operator="equal">
      <formula>0</formula>
    </cfRule>
  </conditionalFormatting>
  <conditionalFormatting sqref="S24:V24">
    <cfRule type="cellIs" dxfId="6" priority="13" operator="equal">
      <formula>0</formula>
    </cfRule>
  </conditionalFormatting>
  <conditionalFormatting sqref="S24:V24">
    <cfRule type="cellIs" dxfId="5" priority="12" operator="equal">
      <formula>0</formula>
    </cfRule>
  </conditionalFormatting>
  <conditionalFormatting sqref="J24">
    <cfRule type="cellIs" dxfId="4" priority="5" operator="equal">
      <formula>0</formula>
    </cfRule>
  </conditionalFormatting>
  <conditionalFormatting sqref="G24">
    <cfRule type="cellIs" dxfId="3" priority="4" operator="equal">
      <formula>0</formula>
    </cfRule>
  </conditionalFormatting>
  <conditionalFormatting sqref="F24">
    <cfRule type="cellIs" dxfId="2" priority="3" operator="equal">
      <formula>0</formula>
    </cfRule>
  </conditionalFormatting>
  <conditionalFormatting sqref="C24:V24">
    <cfRule type="cellIs" dxfId="1" priority="2" operator="equal">
      <formula>0</formula>
    </cfRule>
  </conditionalFormatting>
  <conditionalFormatting sqref="C15:V15">
    <cfRule type="cellIs" dxfId="0" priority="1" operator="equal">
      <formula>0</formula>
    </cfRule>
  </conditionalFormatting>
  <pageMargins left="0.11811023622047245" right="0.11811023622047245" top="0.47244094488188981" bottom="0.3937007874015748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19" zoomScaleNormal="100" zoomScaleSheetLayoutView="100" workbookViewId="0">
      <selection activeCell="B42" activeCellId="1" sqref="B35 B42"/>
    </sheetView>
  </sheetViews>
  <sheetFormatPr defaultColWidth="0" defaultRowHeight="12.75" zeroHeight="1" x14ac:dyDescent="0.2"/>
  <cols>
    <col min="1" max="1" width="42" customWidth="1"/>
    <col min="2" max="2" width="11.42578125" style="168" bestFit="1" customWidth="1"/>
    <col min="3" max="3" width="8.42578125" style="168" bestFit="1" customWidth="1"/>
    <col min="4" max="6" width="8.140625" style="168" bestFit="1" customWidth="1"/>
    <col min="7" max="16384" width="9.140625" hidden="1"/>
  </cols>
  <sheetData>
    <row r="1" spans="1:6" ht="15.75" x14ac:dyDescent="0.25">
      <c r="A1" s="59" t="s">
        <v>84</v>
      </c>
    </row>
    <row r="2" spans="1:6" ht="14.25" customHeight="1" x14ac:dyDescent="0.25">
      <c r="A2" s="59"/>
    </row>
    <row r="3" spans="1:6" x14ac:dyDescent="0.2">
      <c r="A3" s="28" t="s">
        <v>156</v>
      </c>
    </row>
    <row r="4" spans="1:6" x14ac:dyDescent="0.2">
      <c r="A4" s="28"/>
    </row>
    <row r="5" spans="1:6" x14ac:dyDescent="0.2">
      <c r="A5" s="141"/>
      <c r="B5" s="74" t="s">
        <v>1</v>
      </c>
      <c r="C5" s="74" t="s">
        <v>141</v>
      </c>
      <c r="D5" s="74" t="s">
        <v>89</v>
      </c>
      <c r="E5" s="74" t="s">
        <v>112</v>
      </c>
      <c r="F5" s="74" t="s">
        <v>113</v>
      </c>
    </row>
    <row r="6" spans="1:6" x14ac:dyDescent="0.2">
      <c r="A6" s="166" t="s">
        <v>14</v>
      </c>
      <c r="B6" s="122">
        <f>Обоснование!B9</f>
        <v>3.0255000000000001</v>
      </c>
      <c r="C6" s="122">
        <f>$B$6*C7/$B$7</f>
        <v>0.30254999999999999</v>
      </c>
      <c r="D6" s="122">
        <f>$B$6*D7/$B$7</f>
        <v>0.90764999999999996</v>
      </c>
      <c r="E6" s="122">
        <f>$B$6*E7/$B$7</f>
        <v>0.90764999999999996</v>
      </c>
      <c r="F6" s="122">
        <f>$B$6*F7/$B$7</f>
        <v>0.90764999999999996</v>
      </c>
    </row>
    <row r="7" spans="1:6" x14ac:dyDescent="0.2">
      <c r="A7" s="166" t="s">
        <v>79</v>
      </c>
      <c r="B7" s="120">
        <f>SUM(C7:F7)</f>
        <v>45382.5</v>
      </c>
      <c r="C7" s="120">
        <f>Обоснование!B18</f>
        <v>4538.25</v>
      </c>
      <c r="D7" s="120">
        <f>(Обоснование!B11-ИДиР!C7)/3</f>
        <v>13614.75</v>
      </c>
      <c r="E7" s="120">
        <f>D7</f>
        <v>13614.75</v>
      </c>
      <c r="F7" s="120">
        <f>E7</f>
        <v>13614.75</v>
      </c>
    </row>
    <row r="8" spans="1:6" ht="25.5" x14ac:dyDescent="0.2">
      <c r="A8" s="92" t="s">
        <v>144</v>
      </c>
      <c r="B8" s="121">
        <f>B9/B7</f>
        <v>40.093347799999997</v>
      </c>
      <c r="C8" s="121">
        <f>'Э1 (СЗ)'!B4</f>
        <v>38</v>
      </c>
      <c r="D8" s="121">
        <f>'Э2 (СЗ)'!B4</f>
        <v>39.14</v>
      </c>
      <c r="E8" s="153">
        <f>'Э3 (СЗ)'!B4</f>
        <v>40.3142</v>
      </c>
      <c r="F8" s="153">
        <f>'Э4 (СЗ)'!B4</f>
        <v>41.523626</v>
      </c>
    </row>
    <row r="9" spans="1:6" x14ac:dyDescent="0.2">
      <c r="A9" s="166" t="s">
        <v>121</v>
      </c>
      <c r="B9" s="120">
        <f>SUM(C9:F9)</f>
        <v>1819536.3565334999</v>
      </c>
      <c r="C9" s="120">
        <f>C7*C8</f>
        <v>172453.5</v>
      </c>
      <c r="D9" s="120">
        <f t="shared" ref="D9:F9" si="0">D7*D8</f>
        <v>532881.31500000006</v>
      </c>
      <c r="E9" s="120">
        <f t="shared" si="0"/>
        <v>548867.75445000001</v>
      </c>
      <c r="F9" s="120">
        <f t="shared" si="0"/>
        <v>565333.78708349995</v>
      </c>
    </row>
    <row r="10" spans="1:6" ht="25.5" x14ac:dyDescent="0.2">
      <c r="A10" s="92" t="s">
        <v>143</v>
      </c>
      <c r="B10" s="120">
        <f>SUM(C10:F10)</f>
        <v>72781.454261339997</v>
      </c>
      <c r="C10" s="120">
        <f>C9*$B$23</f>
        <v>6898.14</v>
      </c>
      <c r="D10" s="120">
        <f>D9*$B$23</f>
        <v>21315.252600000003</v>
      </c>
      <c r="E10" s="120">
        <f>E9*$B$23</f>
        <v>21954.710178000001</v>
      </c>
      <c r="F10" s="120">
        <f>F9*$B$23</f>
        <v>22613.351483339997</v>
      </c>
    </row>
    <row r="11" spans="1:6" ht="25.5" x14ac:dyDescent="0.2">
      <c r="A11" s="166" t="s">
        <v>154</v>
      </c>
      <c r="B11" s="76">
        <f>B12/(B9)</f>
        <v>0.14003987439532303</v>
      </c>
      <c r="C11" s="76">
        <v>1</v>
      </c>
      <c r="D11" s="76">
        <v>0.05</v>
      </c>
      <c r="E11" s="76">
        <f t="shared" ref="E11:F11" si="1">D11</f>
        <v>0.05</v>
      </c>
      <c r="F11" s="76">
        <f t="shared" si="1"/>
        <v>0.05</v>
      </c>
    </row>
    <row r="12" spans="1:6" ht="25.5" x14ac:dyDescent="0.2">
      <c r="A12" s="166" t="s">
        <v>150</v>
      </c>
      <c r="B12" s="120">
        <f>SUM(C12:F12)</f>
        <v>254807.64282667503</v>
      </c>
      <c r="C12" s="120">
        <f>(C9)*C11</f>
        <v>172453.5</v>
      </c>
      <c r="D12" s="120">
        <f>(D9)*D11</f>
        <v>26644.065750000005</v>
      </c>
      <c r="E12" s="120">
        <f>(E9)*E11</f>
        <v>27443.387722500003</v>
      </c>
      <c r="F12" s="120">
        <f>(F9)*F11</f>
        <v>28266.689354175</v>
      </c>
    </row>
    <row r="13" spans="1:6" ht="25.5" x14ac:dyDescent="0.2">
      <c r="A13" s="167" t="s">
        <v>140</v>
      </c>
      <c r="B13" s="75"/>
      <c r="C13" s="76">
        <v>0.5</v>
      </c>
      <c r="D13" s="76">
        <f>C13</f>
        <v>0.5</v>
      </c>
      <c r="E13" s="76">
        <f>D13</f>
        <v>0.5</v>
      </c>
      <c r="F13" s="76">
        <f>E13</f>
        <v>0.5</v>
      </c>
    </row>
    <row r="14" spans="1:6" x14ac:dyDescent="0.2">
      <c r="A14" s="77" t="s">
        <v>142</v>
      </c>
      <c r="B14" s="170"/>
      <c r="C14" s="79"/>
      <c r="D14" s="79"/>
      <c r="E14" s="79"/>
      <c r="F14" s="79"/>
    </row>
    <row r="15" spans="1:6" ht="25.5" x14ac:dyDescent="0.2">
      <c r="A15" s="77" t="s">
        <v>162</v>
      </c>
      <c r="B15" s="175"/>
      <c r="C15" s="79"/>
      <c r="D15" s="79"/>
      <c r="E15" s="79"/>
      <c r="F15" s="79"/>
    </row>
    <row r="16" spans="1:6" x14ac:dyDescent="0.2">
      <c r="A16" s="77"/>
      <c r="B16" s="78"/>
      <c r="C16" s="87"/>
      <c r="D16" s="79"/>
    </row>
    <row r="17" spans="1:6" x14ac:dyDescent="0.2">
      <c r="A17" s="88" t="s">
        <v>159</v>
      </c>
      <c r="B17" s="169"/>
      <c r="C17" s="169"/>
      <c r="D17" s="169"/>
    </row>
    <row r="18" spans="1:6" x14ac:dyDescent="0.2">
      <c r="A18" s="139" t="s">
        <v>111</v>
      </c>
      <c r="B18" s="129">
        <v>0.1</v>
      </c>
      <c r="C18" s="192" t="s">
        <v>131</v>
      </c>
      <c r="D18" s="192"/>
      <c r="E18" s="192"/>
      <c r="F18" s="192"/>
    </row>
    <row r="19" spans="1:6" x14ac:dyDescent="0.2">
      <c r="A19" s="92" t="s">
        <v>64</v>
      </c>
      <c r="B19" s="130">
        <f>B18</f>
        <v>0.1</v>
      </c>
      <c r="C19" s="192" t="s">
        <v>131</v>
      </c>
      <c r="D19" s="192"/>
      <c r="E19" s="192"/>
      <c r="F19" s="192"/>
    </row>
    <row r="20" spans="1:6" x14ac:dyDescent="0.2">
      <c r="A20" s="92" t="s">
        <v>63</v>
      </c>
      <c r="B20" s="129">
        <f>B19</f>
        <v>0.1</v>
      </c>
      <c r="C20" s="192" t="s">
        <v>131</v>
      </c>
      <c r="D20" s="192"/>
      <c r="E20" s="192"/>
      <c r="F20" s="192"/>
    </row>
    <row r="21" spans="1:6" ht="25.5" x14ac:dyDescent="0.2">
      <c r="A21" s="92" t="s">
        <v>80</v>
      </c>
      <c r="B21" s="129">
        <v>0.05</v>
      </c>
      <c r="C21" s="192" t="s">
        <v>131</v>
      </c>
      <c r="D21" s="192"/>
      <c r="E21" s="192"/>
      <c r="F21" s="192"/>
    </row>
    <row r="22" spans="1:6" x14ac:dyDescent="0.2">
      <c r="A22" s="92" t="s">
        <v>128</v>
      </c>
      <c r="B22" s="129">
        <f>B21</f>
        <v>0.05</v>
      </c>
      <c r="C22" s="192" t="s">
        <v>131</v>
      </c>
      <c r="D22" s="192"/>
      <c r="E22" s="192"/>
      <c r="F22" s="192"/>
    </row>
    <row r="23" spans="1:6" ht="25.5" x14ac:dyDescent="0.2">
      <c r="A23" s="92" t="s">
        <v>143</v>
      </c>
      <c r="B23" s="129">
        <v>0.04</v>
      </c>
      <c r="C23" s="192" t="s">
        <v>146</v>
      </c>
      <c r="D23" s="192"/>
      <c r="E23" s="192"/>
      <c r="F23" s="192"/>
    </row>
    <row r="24" spans="1:6" x14ac:dyDescent="0.2">
      <c r="A24" s="92" t="s">
        <v>125</v>
      </c>
      <c r="B24" s="129">
        <v>5.0000000000000001E-3</v>
      </c>
      <c r="C24" s="192" t="s">
        <v>147</v>
      </c>
      <c r="D24" s="192"/>
      <c r="E24" s="192"/>
      <c r="F24" s="192"/>
    </row>
    <row r="25" spans="1:6" x14ac:dyDescent="0.2">
      <c r="A25" s="92" t="s">
        <v>127</v>
      </c>
      <c r="B25" s="129">
        <v>5.0000000000000001E-3</v>
      </c>
      <c r="C25" s="192" t="s">
        <v>147</v>
      </c>
      <c r="D25" s="192"/>
      <c r="E25" s="192"/>
      <c r="F25" s="192"/>
    </row>
    <row r="26" spans="1:6" x14ac:dyDescent="0.2">
      <c r="A26" s="140" t="s">
        <v>132</v>
      </c>
      <c r="B26" s="131">
        <v>0.09</v>
      </c>
      <c r="C26" s="192" t="s">
        <v>131</v>
      </c>
      <c r="D26" s="192"/>
      <c r="E26" s="192"/>
      <c r="F26" s="192"/>
    </row>
    <row r="27" spans="1:6" ht="25.5" x14ac:dyDescent="0.2">
      <c r="A27" s="140" t="s">
        <v>148</v>
      </c>
      <c r="B27" s="131">
        <v>0.06</v>
      </c>
      <c r="C27" s="192" t="s">
        <v>131</v>
      </c>
      <c r="D27" s="192"/>
      <c r="E27" s="192"/>
      <c r="F27" s="192"/>
    </row>
    <row r="28" spans="1:6" x14ac:dyDescent="0.2">
      <c r="A28" s="80"/>
      <c r="B28" s="169"/>
      <c r="C28" s="169"/>
      <c r="D28" s="169"/>
    </row>
    <row r="29" spans="1:6" x14ac:dyDescent="0.2">
      <c r="A29" s="80"/>
      <c r="B29" s="169"/>
      <c r="C29" s="169"/>
      <c r="D29" s="169"/>
    </row>
    <row r="30" spans="1:6" x14ac:dyDescent="0.2">
      <c r="A30" s="31" t="s">
        <v>78</v>
      </c>
      <c r="B30" s="7"/>
      <c r="C30" s="169"/>
      <c r="D30" s="169"/>
    </row>
    <row r="31" spans="1:6" x14ac:dyDescent="0.2">
      <c r="A31" s="142" t="s">
        <v>85</v>
      </c>
      <c r="B31" s="74" t="s">
        <v>1</v>
      </c>
      <c r="C31" s="74" t="s">
        <v>87</v>
      </c>
      <c r="D31" s="74" t="s">
        <v>89</v>
      </c>
      <c r="E31" s="74" t="s">
        <v>112</v>
      </c>
      <c r="F31" s="74" t="s">
        <v>113</v>
      </c>
    </row>
    <row r="32" spans="1:6" x14ac:dyDescent="0.2">
      <c r="A32" s="143" t="s">
        <v>38</v>
      </c>
      <c r="B32" s="75">
        <f>SUM(C32:F32)</f>
        <v>2715678.5362213477</v>
      </c>
      <c r="C32" s="17">
        <f>'Э1 (СЗ)'!B48</f>
        <v>0</v>
      </c>
      <c r="D32" s="17">
        <f>'Э2 (СЗ)'!B48</f>
        <v>905226.17874044925</v>
      </c>
      <c r="E32" s="17">
        <f>'Э3 (СЗ)'!B48</f>
        <v>905226.17874044925</v>
      </c>
      <c r="F32" s="17">
        <f>'Э4 (СЗ)'!B48</f>
        <v>905226.17874044925</v>
      </c>
    </row>
    <row r="33" spans="1:6" x14ac:dyDescent="0.2">
      <c r="A33" s="143" t="s">
        <v>47</v>
      </c>
      <c r="B33" s="75">
        <f>SUM(C33:F33)</f>
        <v>-1959276.0379445399</v>
      </c>
      <c r="C33" s="17">
        <f>'Э1 (СЗ)'!B49</f>
        <v>-179351.63999999996</v>
      </c>
      <c r="D33" s="17">
        <f>'Э2 (СЗ)'!B49</f>
        <v>-589559.55016400467</v>
      </c>
      <c r="E33" s="17">
        <f>'Э3 (СЗ)'!B49</f>
        <v>-585909.58211737801</v>
      </c>
      <c r="F33" s="17">
        <f>'Э4 (СЗ)'!B49</f>
        <v>-604455.2656631571</v>
      </c>
    </row>
    <row r="34" spans="1:6" x14ac:dyDescent="0.2">
      <c r="A34" s="143" t="s">
        <v>5</v>
      </c>
      <c r="B34" s="75">
        <f>SUM(C34:F34)</f>
        <v>-187150.82765536156</v>
      </c>
      <c r="C34" s="17">
        <f>'Э1 (СЗ)'!B53</f>
        <v>0</v>
      </c>
      <c r="D34" s="17">
        <f>'Э2 (СЗ)'!B53</f>
        <v>-63133.32571528892</v>
      </c>
      <c r="E34" s="17">
        <f>'Э3 (СЗ)'!B53</f>
        <v>-63863.319324614233</v>
      </c>
      <c r="F34" s="17">
        <f>'Э4 (СЗ)'!B53</f>
        <v>-60154.182615458405</v>
      </c>
    </row>
    <row r="35" spans="1:6" x14ac:dyDescent="0.2">
      <c r="A35" s="144" t="s">
        <v>11</v>
      </c>
      <c r="B35" s="106">
        <f>SUM(C35:F35)</f>
        <v>569251.67062144645</v>
      </c>
      <c r="C35" s="14">
        <f>C32+C33+C34</f>
        <v>-179351.63999999996</v>
      </c>
      <c r="D35" s="14">
        <f t="shared" ref="D35:F35" si="2">D32+D33+D34</f>
        <v>252533.30286115565</v>
      </c>
      <c r="E35" s="14">
        <f t="shared" si="2"/>
        <v>255453.27729845699</v>
      </c>
      <c r="F35" s="14">
        <f t="shared" si="2"/>
        <v>240616.73046183374</v>
      </c>
    </row>
    <row r="36" spans="1:6" x14ac:dyDescent="0.2">
      <c r="A36" s="145" t="s">
        <v>72</v>
      </c>
      <c r="B36" s="32">
        <f>B35/(-B33-B34)</f>
        <v>0.26520897578420272</v>
      </c>
      <c r="C36" s="32">
        <f>C35/(-C33-C34)</f>
        <v>-1</v>
      </c>
      <c r="D36" s="32">
        <f>D35/(-D33-D34)</f>
        <v>0.38690985024303859</v>
      </c>
      <c r="E36" s="32">
        <f>IFERROR(E35/(-E33-E34),0)</f>
        <v>0.39314239903133646</v>
      </c>
      <c r="F36" s="32">
        <f>IFERROR(F35/(-F33-F34),0)</f>
        <v>0.3620422957949932</v>
      </c>
    </row>
    <row r="37" spans="1:6" x14ac:dyDescent="0.2">
      <c r="A37" s="145" t="s">
        <v>73</v>
      </c>
      <c r="B37" s="32">
        <f>Свод!B41</f>
        <v>0.42967113456750106</v>
      </c>
      <c r="C37" s="32">
        <f>'Э1 (СЗ)'!B46</f>
        <v>0</v>
      </c>
      <c r="D37" s="32">
        <f>'Э2 (СЗ)'!B46</f>
        <v>0.46154969968930626</v>
      </c>
      <c r="E37" s="32">
        <f>'Э3 (СЗ)'!B46</f>
        <v>0.42268988088055615</v>
      </c>
      <c r="F37" s="32">
        <f>'Э4 (СЗ)'!B46</f>
        <v>0.39168111767054015</v>
      </c>
    </row>
    <row r="38" spans="1:6" x14ac:dyDescent="0.2">
      <c r="A38" s="142" t="s">
        <v>86</v>
      </c>
      <c r="B38" s="90"/>
      <c r="C38" s="90"/>
      <c r="D38" s="90"/>
      <c r="E38" s="90"/>
      <c r="F38" s="90"/>
    </row>
    <row r="39" spans="1:6" x14ac:dyDescent="0.2">
      <c r="A39" s="143" t="s">
        <v>38</v>
      </c>
      <c r="B39" s="17">
        <f>Свод!B55</f>
        <v>795122.57812794822</v>
      </c>
      <c r="C39" s="17"/>
      <c r="D39" s="17"/>
      <c r="E39" s="17"/>
      <c r="F39" s="17"/>
    </row>
    <row r="40" spans="1:6" x14ac:dyDescent="0.2">
      <c r="A40" s="143" t="s">
        <v>47</v>
      </c>
      <c r="B40" s="17">
        <f>Свод!B60+Свод!B70</f>
        <v>-320408.18289657892</v>
      </c>
      <c r="C40" s="17"/>
      <c r="D40" s="17"/>
      <c r="E40" s="17"/>
      <c r="F40" s="17"/>
    </row>
    <row r="41" spans="1:6" x14ac:dyDescent="0.2">
      <c r="A41" s="146" t="s">
        <v>133</v>
      </c>
      <c r="B41" s="17">
        <f>Свод!B64</f>
        <v>0</v>
      </c>
      <c r="C41" s="17"/>
      <c r="D41" s="17"/>
      <c r="E41" s="17"/>
      <c r="F41" s="17"/>
    </row>
    <row r="42" spans="1:6" x14ac:dyDescent="0.2">
      <c r="A42" s="144" t="s">
        <v>11</v>
      </c>
      <c r="B42" s="14">
        <f>B39+B40</f>
        <v>474714.3952313693</v>
      </c>
      <c r="C42" s="14"/>
      <c r="D42" s="14"/>
      <c r="E42" s="14"/>
      <c r="F42" s="14"/>
    </row>
    <row r="43" spans="1:6" x14ac:dyDescent="0.2">
      <c r="A43" s="145" t="s">
        <v>72</v>
      </c>
      <c r="B43" s="86">
        <f>-B42/B40</f>
        <v>1.4815926077162556</v>
      </c>
      <c r="C43" s="86"/>
      <c r="D43" s="86"/>
      <c r="E43" s="86"/>
      <c r="F43" s="86"/>
    </row>
    <row r="44" spans="1:6" x14ac:dyDescent="0.2">
      <c r="A44" s="145" t="s">
        <v>73</v>
      </c>
      <c r="B44" s="32">
        <f>Свод!B77</f>
        <v>0.40919818079842507</v>
      </c>
      <c r="C44" s="32"/>
      <c r="D44" s="32"/>
      <c r="E44" s="32"/>
      <c r="F44" s="32"/>
    </row>
    <row r="45" spans="1:6" hidden="1" x14ac:dyDescent="0.2"/>
    <row r="46" spans="1:6" hidden="1" x14ac:dyDescent="0.2"/>
    <row r="47" spans="1:6" hidden="1" x14ac:dyDescent="0.2"/>
  </sheetData>
  <mergeCells count="10">
    <mergeCell ref="C23:F23"/>
    <mergeCell ref="C24:F24"/>
    <mergeCell ref="C25:F25"/>
    <mergeCell ref="C26:F26"/>
    <mergeCell ref="C27:F27"/>
    <mergeCell ref="C18:F18"/>
    <mergeCell ref="C19:F19"/>
    <mergeCell ref="C20:F20"/>
    <mergeCell ref="C21:F21"/>
    <mergeCell ref="C22:F22"/>
  </mergeCells>
  <pageMargins left="0.70866141732283472" right="0.56999999999999995" top="0.62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102"/>
  <sheetViews>
    <sheetView zoomScale="70" zoomScaleNormal="70" zoomScaleSheetLayoutView="70" workbookViewId="0">
      <selection activeCell="I15" sqref="I15"/>
    </sheetView>
  </sheetViews>
  <sheetFormatPr defaultColWidth="0" defaultRowHeight="12.75" zeroHeight="1" outlineLevelRow="2" outlineLevelCol="1" x14ac:dyDescent="0.2"/>
  <cols>
    <col min="1" max="1" width="34.5703125" customWidth="1"/>
    <col min="2" max="2" width="13.85546875" style="7" bestFit="1" customWidth="1"/>
    <col min="3" max="4" width="9.28515625" style="7" hidden="1" customWidth="1" outlineLevel="1"/>
    <col min="5" max="5" width="9.28515625" style="7" bestFit="1" customWidth="1" collapsed="1"/>
    <col min="6" max="6" width="9.28515625" style="7" bestFit="1" customWidth="1"/>
    <col min="7" max="7" width="9.28515625" style="12" bestFit="1" customWidth="1"/>
    <col min="8" max="9" width="10.140625" style="12" bestFit="1" customWidth="1"/>
    <col min="10" max="12" width="10.140625" bestFit="1" customWidth="1"/>
    <col min="13" max="13" width="9.28515625" bestFit="1" customWidth="1"/>
    <col min="14" max="14" width="10.140625" bestFit="1" customWidth="1"/>
    <col min="15" max="15" width="10.7109375" bestFit="1" customWidth="1"/>
    <col min="16" max="18" width="9.28515625" bestFit="1" customWidth="1"/>
    <col min="19" max="22" width="9.28515625" customWidth="1"/>
    <col min="23" max="26" width="9.7109375" hidden="1" customWidth="1"/>
    <col min="27" max="16384" width="9.140625" hidden="1"/>
  </cols>
  <sheetData>
    <row r="1" spans="1:26" ht="20.25" x14ac:dyDescent="0.3">
      <c r="A1" s="33" t="s">
        <v>71</v>
      </c>
      <c r="Q1" s="26"/>
    </row>
    <row r="2" spans="1:26" x14ac:dyDescent="0.2">
      <c r="G2" s="23"/>
      <c r="H2" s="23"/>
      <c r="I2" s="23"/>
      <c r="J2" s="24"/>
    </row>
    <row r="3" spans="1:26" x14ac:dyDescent="0.2">
      <c r="A3" t="str">
        <f>ИДиР!A3</f>
        <v>Вариант Базовый. Строительство и передача жилья на ЗУ2 в первом доме (Этап 1)</v>
      </c>
      <c r="G3" s="23"/>
      <c r="H3" s="23"/>
      <c r="I3" s="23"/>
      <c r="J3" s="24"/>
    </row>
    <row r="4" spans="1:26" x14ac:dyDescent="0.2">
      <c r="B4" s="138"/>
    </row>
    <row r="5" spans="1:26" ht="15" x14ac:dyDescent="0.25">
      <c r="A5" s="61" t="s">
        <v>60</v>
      </c>
      <c r="B5" s="62"/>
      <c r="C5" s="194">
        <v>2020</v>
      </c>
      <c r="D5" s="194"/>
      <c r="E5" s="194"/>
      <c r="F5" s="194"/>
      <c r="G5" s="194">
        <f>C5+1</f>
        <v>2021</v>
      </c>
      <c r="H5" s="194"/>
      <c r="I5" s="194"/>
      <c r="J5" s="194"/>
      <c r="K5" s="194">
        <f>G5+1</f>
        <v>2022</v>
      </c>
      <c r="L5" s="194"/>
      <c r="M5" s="194"/>
      <c r="N5" s="194"/>
      <c r="O5" s="194">
        <f>K5+1</f>
        <v>2023</v>
      </c>
      <c r="P5" s="194"/>
      <c r="Q5" s="194"/>
      <c r="R5" s="194"/>
      <c r="S5" s="194">
        <f>O5+1</f>
        <v>2024</v>
      </c>
      <c r="T5" s="194"/>
      <c r="U5" s="194"/>
      <c r="V5" s="194"/>
      <c r="W5" s="194">
        <f>S5+1</f>
        <v>2025</v>
      </c>
      <c r="X5" s="194"/>
      <c r="Y5" s="194"/>
      <c r="Z5" s="194"/>
    </row>
    <row r="6" spans="1:26" ht="15" x14ac:dyDescent="0.25">
      <c r="A6" s="64" t="s">
        <v>58</v>
      </c>
      <c r="B6" s="62"/>
      <c r="C6" s="62" t="s">
        <v>15</v>
      </c>
      <c r="D6" s="62" t="s">
        <v>16</v>
      </c>
      <c r="E6" s="62" t="s">
        <v>17</v>
      </c>
      <c r="F6" s="62" t="s">
        <v>18</v>
      </c>
      <c r="G6" s="62" t="s">
        <v>15</v>
      </c>
      <c r="H6" s="62" t="s">
        <v>16</v>
      </c>
      <c r="I6" s="62" t="s">
        <v>17</v>
      </c>
      <c r="J6" s="62" t="s">
        <v>18</v>
      </c>
      <c r="K6" s="62" t="s">
        <v>15</v>
      </c>
      <c r="L6" s="62" t="s">
        <v>16</v>
      </c>
      <c r="M6" s="62" t="s">
        <v>17</v>
      </c>
      <c r="N6" s="62" t="s">
        <v>18</v>
      </c>
      <c r="O6" s="62" t="s">
        <v>15</v>
      </c>
      <c r="P6" s="62" t="s">
        <v>16</v>
      </c>
      <c r="Q6" s="62" t="s">
        <v>17</v>
      </c>
      <c r="R6" s="62" t="s">
        <v>18</v>
      </c>
      <c r="S6" s="62" t="s">
        <v>15</v>
      </c>
      <c r="T6" s="62" t="s">
        <v>16</v>
      </c>
      <c r="U6" s="62" t="s">
        <v>17</v>
      </c>
      <c r="V6" s="62" t="s">
        <v>18</v>
      </c>
      <c r="W6" s="62" t="s">
        <v>15</v>
      </c>
      <c r="X6" s="62" t="s">
        <v>16</v>
      </c>
      <c r="Y6" s="62" t="s">
        <v>17</v>
      </c>
      <c r="Z6" s="62" t="s">
        <v>18</v>
      </c>
    </row>
    <row r="7" spans="1:26" ht="12.75" hidden="1" customHeight="1" outlineLevel="1" x14ac:dyDescent="0.2">
      <c r="A7" s="36"/>
      <c r="B7" s="34"/>
      <c r="C7" s="147">
        <v>57.438000000000002</v>
      </c>
      <c r="D7" s="147">
        <f>C7*(1+ИДиР!$B$26/4)</f>
        <v>58.730355000000003</v>
      </c>
      <c r="E7" s="147">
        <f>D7*(1+ИДиР!$B$26/4)</f>
        <v>60.051787987499999</v>
      </c>
      <c r="F7" s="147">
        <f>E7*(1+ИДиР!$B$26/4)</f>
        <v>61.402953217218744</v>
      </c>
      <c r="G7" s="147">
        <f>F7*(1+ИДиР!$B$26/4)</f>
        <v>62.784519664606165</v>
      </c>
      <c r="H7" s="147">
        <f>G7*(1+ИДиР!$B$26/4)</f>
        <v>64.197171357059801</v>
      </c>
      <c r="I7" s="147">
        <f>H7*(1+ИДиР!$B$26/4)</f>
        <v>65.64160771259364</v>
      </c>
      <c r="J7" s="147">
        <f>I7*(1+ИДиР!$B$26/4)</f>
        <v>67.118543886127</v>
      </c>
      <c r="K7" s="147">
        <f>J7*(1+ИДиР!$B$26/4)</f>
        <v>68.628711123564855</v>
      </c>
      <c r="L7" s="147">
        <f>K7*(1+ИДиР!$B$26/4)</f>
        <v>70.172857123845063</v>
      </c>
      <c r="M7" s="147">
        <f>L7*(1+ИДиР!$B$26/4)</f>
        <v>71.75174640913157</v>
      </c>
      <c r="N7" s="147">
        <f>M7*(1+ИДиР!$B$26/4)</f>
        <v>73.36616070333703</v>
      </c>
      <c r="O7" s="147">
        <f>N7*(1+ИДиР!$B$26/4)</f>
        <v>75.016899319162107</v>
      </c>
      <c r="P7" s="147">
        <f>O7*(1+ИДиР!$B$26/4)</f>
        <v>76.704779553843252</v>
      </c>
      <c r="Q7" s="147">
        <f>P7*(1+ИДиР!$B$26/4)</f>
        <v>78.430637093804719</v>
      </c>
      <c r="R7" s="147">
        <f>Q7*(1+ИДиР!$B$26/4)</f>
        <v>80.195326428415328</v>
      </c>
      <c r="S7" s="35"/>
      <c r="T7" s="35"/>
      <c r="U7" s="35"/>
      <c r="V7" s="35"/>
      <c r="W7" s="90"/>
      <c r="X7" s="90"/>
      <c r="Y7" s="90"/>
      <c r="Z7" s="90"/>
    </row>
    <row r="8" spans="1:26" ht="12.75" hidden="1" customHeight="1" outlineLevel="1" x14ac:dyDescent="0.2">
      <c r="A8" s="36"/>
      <c r="B8" s="3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35"/>
      <c r="T8" s="35"/>
      <c r="U8" s="35"/>
      <c r="V8" s="35"/>
      <c r="W8" s="90"/>
      <c r="X8" s="90"/>
      <c r="Y8" s="90"/>
      <c r="Z8" s="90"/>
    </row>
    <row r="9" spans="1:26" collapsed="1" x14ac:dyDescent="0.2">
      <c r="A9" s="36" t="s">
        <v>82</v>
      </c>
      <c r="B9" s="51">
        <f>B12/(B10-'Э1 (СЗ)'!B15)</f>
        <v>66.488637598226134</v>
      </c>
      <c r="C9" s="172" t="str">
        <f>IFERROR(('Э1 (СЗ)'!C14*'Э1 (СЗ)'!C15+'Э2 (СЗ)'!C14*'Э2 (СЗ)'!C15+'Э3 (СЗ)'!C14*'Э3 (СЗ)'!C15+'Э4 (СЗ)'!C14*'Э4 (СЗ)'!C15)/Свод!C10,"")</f>
        <v/>
      </c>
      <c r="D9" s="172" t="str">
        <f>IFERROR(('Э1 (СЗ)'!D14*'Э1 (СЗ)'!D15+'Э2 (СЗ)'!D14*'Э2 (СЗ)'!D15+'Э3 (СЗ)'!D14*'Э3 (СЗ)'!D15+'Э4 (СЗ)'!D14*'Э4 (СЗ)'!D15)/Свод!D10,"")</f>
        <v/>
      </c>
      <c r="E9" s="172" t="str">
        <f>IFERROR(('Э1 (СЗ)'!E14*'Э1 (СЗ)'!E15+'Э2 (СЗ)'!E14*'Э2 (СЗ)'!E15+'Э3 (СЗ)'!E14*'Э3 (СЗ)'!E15+'Э4 (СЗ)'!E14*'Э4 (СЗ)'!E15)/Свод!E10,"")</f>
        <v/>
      </c>
      <c r="F9" s="172" t="str">
        <f>IFERROR(('Э1 (СЗ)'!F14*'Э1 (СЗ)'!F15+'Э2 (СЗ)'!F14*'Э2 (СЗ)'!F15+'Э3 (СЗ)'!F14*'Э3 (СЗ)'!F15+'Э4 (СЗ)'!F14*'Э4 (СЗ)'!F15)/Свод!F10,"")</f>
        <v/>
      </c>
      <c r="G9" s="172" t="str">
        <f>IFERROR(('Э1 (СЗ)'!G14*'Э1 (СЗ)'!G15+'Э2 (СЗ)'!G14*'Э2 (СЗ)'!G15+'Э3 (СЗ)'!G14*'Э3 (СЗ)'!G15+'Э4 (СЗ)'!G14*'Э4 (СЗ)'!G15)/Свод!G10,"")</f>
        <v/>
      </c>
      <c r="H9" s="172" t="str">
        <f>IFERROR(('Э1 (СЗ)'!H14*'Э1 (СЗ)'!H15+'Э2 (СЗ)'!H14*'Э2 (СЗ)'!H15+'Э3 (СЗ)'!H14*'Э3 (СЗ)'!H15+'Э4 (СЗ)'!H14*'Э4 (СЗ)'!H15)/Свод!H10,"")</f>
        <v/>
      </c>
      <c r="I9" s="172" t="str">
        <f>IFERROR(('Э1 (СЗ)'!I14*'Э1 (СЗ)'!I15+'Э2 (СЗ)'!I14*'Э2 (СЗ)'!I15+'Э3 (СЗ)'!I14*'Э3 (СЗ)'!I15+'Э4 (СЗ)'!I14*'Э4 (СЗ)'!I15)/Свод!I10,"")</f>
        <v/>
      </c>
      <c r="J9" s="172">
        <f>IFERROR(('Э1 (СЗ)'!J14*'Э1 (СЗ)'!J15+'Э2 (СЗ)'!J14*'Э2 (СЗ)'!J15+'Э3 (СЗ)'!J14*'Э3 (СЗ)'!J15+'Э4 (СЗ)'!J14*'Э4 (СЗ)'!J15)/Свод!J10,"")</f>
        <v>61.255427057812483</v>
      </c>
      <c r="K9" s="172">
        <f>IFERROR(('Э1 (СЗ)'!K14*'Э1 (СЗ)'!K15+'Э2 (СЗ)'!K14*'Э2 (СЗ)'!K15+'Э3 (СЗ)'!K14*'Э3 (СЗ)'!K15+'Э4 (СЗ)'!K14*'Э4 (СЗ)'!K15)/Свод!K10,"")</f>
        <v>63.649346300732937</v>
      </c>
      <c r="L9" s="172">
        <f>IFERROR(('Э1 (СЗ)'!L14*'Э1 (СЗ)'!L15+'Э2 (СЗ)'!L14*'Э2 (СЗ)'!L15+'Э3 (СЗ)'!L14*'Э3 (СЗ)'!L15+'Э4 (СЗ)'!L14*'Э4 (СЗ)'!L15)/Свод!L10,"")</f>
        <v>63.557211265723261</v>
      </c>
      <c r="M9" s="172">
        <f>IFERROR(('Э1 (СЗ)'!M14*'Э1 (СЗ)'!M15+'Э2 (СЗ)'!M14*'Э2 (СЗ)'!M15+'Э3 (СЗ)'!M14*'Э3 (СЗ)'!M15+'Э4 (СЗ)'!M14*'Э4 (СЗ)'!M15)/Свод!M10,"")</f>
        <v>64.852292231690498</v>
      </c>
      <c r="N9" s="172">
        <f>IFERROR(('Э1 (СЗ)'!N14*'Э1 (СЗ)'!N15+'Э2 (СЗ)'!N14*'Э2 (СЗ)'!N15+'Э3 (СЗ)'!N14*'Э3 (СЗ)'!N15+'Э4 (СЗ)'!N14*'Э4 (СЗ)'!N15)/Свод!N10,"")</f>
        <v>64.862738543808163</v>
      </c>
      <c r="O9" s="172">
        <f>IFERROR(('Э1 (СЗ)'!O14*'Э1 (СЗ)'!O15+'Э2 (СЗ)'!O14*'Э2 (СЗ)'!O15+'Э3 (СЗ)'!O14*'Э3 (СЗ)'!O15+'Э4 (СЗ)'!O14*'Э4 (СЗ)'!O15)/Свод!O10,"")</f>
        <v>65.359738917666306</v>
      </c>
      <c r="P9" s="172">
        <f>IFERROR(('Э1 (СЗ)'!P14*'Э1 (СЗ)'!P15+'Э2 (СЗ)'!P14*'Э2 (СЗ)'!P15+'Э3 (СЗ)'!P14*'Э3 (СЗ)'!P15+'Э4 (СЗ)'!P14*'Э4 (СЗ)'!P15)/Свод!P10,"")</f>
        <v>66.660428931351973</v>
      </c>
      <c r="Q9" s="172">
        <f>IFERROR(('Э1 (СЗ)'!Q14*'Э1 (СЗ)'!Q15+'Э2 (СЗ)'!Q14*'Э2 (СЗ)'!Q15+'Э3 (СЗ)'!Q14*'Э3 (СЗ)'!Q15+'Э4 (СЗ)'!Q14*'Э4 (СЗ)'!Q15)/Свод!Q10,"")</f>
        <v>67.820442694910653</v>
      </c>
      <c r="R9" s="172">
        <f>IFERROR(('Э1 (СЗ)'!R14*'Э1 (СЗ)'!R15+'Э2 (СЗ)'!R14*'Э2 (СЗ)'!R15+'Э3 (СЗ)'!R14*'Э3 (СЗ)'!R15+'Э4 (СЗ)'!R14*'Э4 (СЗ)'!R15)/Свод!R10,"")</f>
        <v>69.001459079838455</v>
      </c>
      <c r="S9" s="172">
        <f>IFERROR(('Э1 (СЗ)'!S14*'Э1 (СЗ)'!S15+'Э2 (СЗ)'!S14*'Э2 (СЗ)'!S15+'Э3 (СЗ)'!S14*'Э3 (СЗ)'!S15+'Э4 (СЗ)'!S14*'Э4 (СЗ)'!S15)/Свод!S10,"")</f>
        <v>68.988715141537128</v>
      </c>
      <c r="T9" s="172">
        <f>IFERROR(('Э1 (СЗ)'!T14*'Э1 (СЗ)'!T15+'Э2 (СЗ)'!T14*'Э2 (СЗ)'!T15+'Э3 (СЗ)'!T14*'Э3 (СЗ)'!T15+'Э4 (СЗ)'!T14*'Э4 (СЗ)'!T15)/Свод!T10,"")</f>
        <v>70.023545868660165</v>
      </c>
      <c r="U9" s="172">
        <f>IFERROR(('Э1 (СЗ)'!U14*'Э1 (СЗ)'!U15+'Э2 (СЗ)'!U14*'Э2 (СЗ)'!U15+'Э3 (СЗ)'!U14*'Э3 (СЗ)'!U15+'Э4 (СЗ)'!U14*'Э4 (СЗ)'!U15)/Свод!U10,"")</f>
        <v>70.015785498346318</v>
      </c>
      <c r="V9" s="172">
        <f>IFERROR(('Э1 (СЗ)'!V14*'Э1 (СЗ)'!V15+'Э2 (СЗ)'!V14*'Э2 (СЗ)'!V15+'Э3 (СЗ)'!V14*'Э3 (СЗ)'!V15+'Э4 (СЗ)'!V14*'Э4 (СЗ)'!V15)/Свод!V10,"")</f>
        <v>71.0660222808215</v>
      </c>
      <c r="W9" s="35">
        <f>V9*(1+ИДиР!$B$26/4)</f>
        <v>72.66500778213998</v>
      </c>
      <c r="X9" s="35">
        <f>W9*(1+ИДиР!$B$26/4)</f>
        <v>74.299970457238132</v>
      </c>
      <c r="Y9" s="35">
        <f>X9*(1+ИДиР!$B$26/4)</f>
        <v>75.971719792525988</v>
      </c>
      <c r="Z9" s="35">
        <f>Y9*(1+ИДиР!$B$26/4)</f>
        <v>77.681083487857819</v>
      </c>
    </row>
    <row r="10" spans="1:26" x14ac:dyDescent="0.2">
      <c r="A10" s="36" t="s">
        <v>158</v>
      </c>
      <c r="B10" s="174">
        <f t="shared" ref="B10:B15" si="0">SUM(C10:Z10)</f>
        <v>45382.5</v>
      </c>
      <c r="C10" s="38">
        <f>'Э1 (СЗ)'!C15+'Э2 (СЗ)'!C15+'Э3 (СЗ)'!C15+'Э4 (СЗ)'!C15</f>
        <v>0</v>
      </c>
      <c r="D10" s="38">
        <f>'Э1 (СЗ)'!D15+'Э2 (СЗ)'!D15+'Э3 (СЗ)'!D15+'Э4 (СЗ)'!D15</f>
        <v>0</v>
      </c>
      <c r="E10" s="38">
        <f>'Э1 (СЗ)'!E15+'Э2 (СЗ)'!E15+'Э3 (СЗ)'!E15+'Э4 (СЗ)'!E15</f>
        <v>0</v>
      </c>
      <c r="F10" s="38">
        <f>'Э1 (СЗ)'!F15+'Э2 (СЗ)'!F15+'Э3 (СЗ)'!F15+'Э4 (СЗ)'!F15</f>
        <v>0</v>
      </c>
      <c r="G10" s="38">
        <f>'Э1 (СЗ)'!G15+'Э2 (СЗ)'!G15+'Э3 (СЗ)'!G15+'Э4 (СЗ)'!G15</f>
        <v>0</v>
      </c>
      <c r="H10" s="38">
        <f>'Э1 (СЗ)'!H15+'Э2 (СЗ)'!H15+'Э3 (СЗ)'!H15+'Э4 (СЗ)'!H15</f>
        <v>0</v>
      </c>
      <c r="I10" s="38">
        <f>'Э1 (СЗ)'!I15+'Э2 (СЗ)'!I15+'Э3 (СЗ)'!I15+'Э4 (СЗ)'!I15</f>
        <v>0</v>
      </c>
      <c r="J10" s="38">
        <f>'Э1 (СЗ)'!J15+'Э2 (СЗ)'!J15+'Э3 (СЗ)'!J15+'Э4 (СЗ)'!J15</f>
        <v>1512.75</v>
      </c>
      <c r="K10" s="38">
        <f>'Э1 (СЗ)'!K15+'Э2 (СЗ)'!K15+'Э3 (СЗ)'!K15+'Э4 (СЗ)'!K15</f>
        <v>2647.3125</v>
      </c>
      <c r="L10" s="38">
        <f>'Э1 (СЗ)'!L15+'Э2 (СЗ)'!L15+'Э3 (СЗ)'!L15+'Э4 (СЗ)'!L15</f>
        <v>4160.0625</v>
      </c>
      <c r="M10" s="38">
        <f>'Э1 (СЗ)'!M15+'Э2 (СЗ)'!M15+'Э3 (СЗ)'!M15+'Э4 (СЗ)'!M15</f>
        <v>4160.0625</v>
      </c>
      <c r="N10" s="38">
        <f>'Э1 (СЗ)'!N15+'Э2 (СЗ)'!N15+'Э3 (СЗ)'!N15+'Э4 (СЗ)'!N15</f>
        <v>5672.8125</v>
      </c>
      <c r="O10" s="38">
        <f>'Э1 (СЗ)'!O15+'Э2 (СЗ)'!O15+'Э3 (СЗ)'!O15+'Э4 (СЗ)'!O15</f>
        <v>4538.25</v>
      </c>
      <c r="P10" s="38">
        <f>'Э1 (СЗ)'!P15+'Э2 (СЗ)'!P15+'Э3 (СЗ)'!P15+'Э4 (СЗ)'!P15</f>
        <v>4538.25</v>
      </c>
      <c r="Q10" s="38">
        <f>'Э1 (СЗ)'!Q15+'Э2 (СЗ)'!Q15+'Э3 (СЗ)'!Q15+'Э4 (СЗ)'!Q15</f>
        <v>4538.25</v>
      </c>
      <c r="R10" s="38">
        <f>'Э1 (СЗ)'!R15+'Э2 (СЗ)'!R15+'Э3 (СЗ)'!R15+'Э4 (СЗ)'!R15</f>
        <v>4538.25</v>
      </c>
      <c r="S10" s="38">
        <f>'Э1 (СЗ)'!S15+'Э2 (СЗ)'!S15+'Э3 (СЗ)'!S15+'Э4 (СЗ)'!S15</f>
        <v>3025.5</v>
      </c>
      <c r="T10" s="38">
        <f>'Э1 (СЗ)'!T15+'Э2 (СЗ)'!T15+'Э3 (СЗ)'!T15+'Э4 (СЗ)'!T15</f>
        <v>3025.5</v>
      </c>
      <c r="U10" s="38">
        <f>'Э1 (СЗ)'!U15+'Э2 (СЗ)'!U15+'Э3 (СЗ)'!U15+'Э4 (СЗ)'!U15</f>
        <v>1512.75</v>
      </c>
      <c r="V10" s="38">
        <f>'Э1 (СЗ)'!V15+'Э2 (СЗ)'!V15+'Э3 (СЗ)'!V15+'Э4 (СЗ)'!V15</f>
        <v>1512.75</v>
      </c>
      <c r="W10" s="35"/>
      <c r="X10" s="35"/>
      <c r="Y10" s="35"/>
      <c r="Z10" s="35"/>
    </row>
    <row r="11" spans="1:26" s="44" customFormat="1" x14ac:dyDescent="0.2">
      <c r="A11" s="43" t="s">
        <v>12</v>
      </c>
      <c r="B11" s="49">
        <f t="shared" si="0"/>
        <v>2977956.2658472415</v>
      </c>
      <c r="C11" s="49">
        <f t="shared" ref="C11:Z11" si="1">SUM(C12:C15)</f>
        <v>0</v>
      </c>
      <c r="D11" s="49">
        <f t="shared" si="1"/>
        <v>0</v>
      </c>
      <c r="E11" s="49">
        <f t="shared" si="1"/>
        <v>0</v>
      </c>
      <c r="F11" s="49">
        <f t="shared" si="1"/>
        <v>35870.327999999994</v>
      </c>
      <c r="G11" s="49">
        <f t="shared" si="1"/>
        <v>35870.327999999994</v>
      </c>
      <c r="H11" s="49">
        <f t="shared" si="1"/>
        <v>49271.539037692026</v>
      </c>
      <c r="I11" s="49">
        <f t="shared" si="1"/>
        <v>49271.539037692026</v>
      </c>
      <c r="J11" s="49">
        <f t="shared" si="1"/>
        <v>142351.33374509786</v>
      </c>
      <c r="K11" s="49">
        <f t="shared" si="1"/>
        <v>108565.94905893625</v>
      </c>
      <c r="L11" s="49">
        <f t="shared" si="1"/>
        <v>203790.06772751283</v>
      </c>
      <c r="M11" s="49">
        <f t="shared" si="1"/>
        <v>208054.83230686499</v>
      </c>
      <c r="N11" s="49">
        <f t="shared" si="1"/>
        <v>290834.72605909535</v>
      </c>
      <c r="O11" s="49">
        <f t="shared" si="1"/>
        <v>296618.83514309913</v>
      </c>
      <c r="P11" s="49">
        <f t="shared" si="1"/>
        <v>302521.69159770809</v>
      </c>
      <c r="Q11" s="49">
        <f t="shared" si="1"/>
        <v>307786.12406017829</v>
      </c>
      <c r="R11" s="49">
        <f t="shared" si="1"/>
        <v>313145.87166907685</v>
      </c>
      <c r="S11" s="49">
        <f t="shared" si="1"/>
        <v>208725.35766072059</v>
      </c>
      <c r="T11" s="49">
        <f t="shared" si="1"/>
        <v>211856.23802563135</v>
      </c>
      <c r="U11" s="49">
        <f t="shared" si="1"/>
        <v>105916.37951262339</v>
      </c>
      <c r="V11" s="49">
        <f t="shared" si="1"/>
        <v>107505.12520531272</v>
      </c>
      <c r="W11" s="49">
        <f t="shared" si="1"/>
        <v>0</v>
      </c>
      <c r="X11" s="49">
        <f t="shared" si="1"/>
        <v>0</v>
      </c>
      <c r="Y11" s="49">
        <f t="shared" si="1"/>
        <v>0</v>
      </c>
      <c r="Z11" s="49">
        <f t="shared" si="1"/>
        <v>0</v>
      </c>
    </row>
    <row r="12" spans="1:26" x14ac:dyDescent="0.2">
      <c r="A12" s="9" t="s">
        <v>44</v>
      </c>
      <c r="B12" s="4">
        <f t="shared" si="0"/>
        <v>2715678.5362213477</v>
      </c>
      <c r="C12" s="38">
        <f>'Э1 (СЗ)'!C17+'Э2 (СЗ)'!C17+'Э3 (СЗ)'!C17+'Э4 (СЗ)'!C17</f>
        <v>0</v>
      </c>
      <c r="D12" s="38">
        <f>'Э1 (СЗ)'!D17+'Э2 (СЗ)'!D17+'Э3 (СЗ)'!D17+'Э4 (СЗ)'!D17</f>
        <v>0</v>
      </c>
      <c r="E12" s="38">
        <f>'Э1 (СЗ)'!E17+'Э2 (СЗ)'!E17+'Э3 (СЗ)'!E17+'Э4 (СЗ)'!E17</f>
        <v>0</v>
      </c>
      <c r="F12" s="38">
        <f>'Э1 (СЗ)'!F17+'Э2 (СЗ)'!F17+'Э3 (СЗ)'!F17+'Э4 (СЗ)'!F17</f>
        <v>0</v>
      </c>
      <c r="G12" s="38">
        <f>'Э1 (СЗ)'!G17+'Э2 (СЗ)'!G17+'Э3 (СЗ)'!G17+'Э4 (СЗ)'!G17</f>
        <v>0</v>
      </c>
      <c r="H12" s="38">
        <f>'Э1 (СЗ)'!H17+'Э2 (СЗ)'!H17+'Э3 (СЗ)'!H17+'Э4 (СЗ)'!H17</f>
        <v>0</v>
      </c>
      <c r="I12" s="38">
        <f>'Э1 (СЗ)'!I17+'Э2 (СЗ)'!I17+'Э3 (СЗ)'!I17+'Э4 (СЗ)'!I17</f>
        <v>0</v>
      </c>
      <c r="J12" s="38">
        <f>'Э1 (СЗ)'!J17+'Э2 (СЗ)'!J17+'Э3 (СЗ)'!J17+'Э4 (СЗ)'!J17</f>
        <v>92664.147281705838</v>
      </c>
      <c r="K12" s="38">
        <f>'Э1 (СЗ)'!K17+'Э2 (СЗ)'!K17+'Э3 (СЗ)'!K17+'Э4 (СЗ)'!K17</f>
        <v>94749.090595544229</v>
      </c>
      <c r="L12" s="38">
        <f>'Э1 (СЗ)'!L17+'Э2 (СЗ)'!L17+'Э3 (СЗ)'!L17+'Э4 (СЗ)'!L17</f>
        <v>189545.09241564979</v>
      </c>
      <c r="M12" s="38">
        <f>'Э1 (СЗ)'!M17+'Э2 (СЗ)'!M17+'Э3 (СЗ)'!M17+'Э4 (СЗ)'!M17</f>
        <v>193809.85699500196</v>
      </c>
      <c r="N12" s="38">
        <f>'Э1 (СЗ)'!N17+'Э2 (СЗ)'!N17+'Э3 (СЗ)'!N17+'Э4 (СЗ)'!N17</f>
        <v>290834.72605909535</v>
      </c>
      <c r="O12" s="38">
        <f>'Э1 (СЗ)'!O17+'Э2 (СЗ)'!O17+'Э3 (СЗ)'!O17+'Э4 (СЗ)'!O17</f>
        <v>296618.83514309913</v>
      </c>
      <c r="P12" s="38">
        <f>'Э1 (СЗ)'!P17+'Э2 (СЗ)'!P17+'Э3 (СЗ)'!P17+'Э4 (СЗ)'!P17</f>
        <v>302521.69159770809</v>
      </c>
      <c r="Q12" s="38">
        <f>'Э1 (СЗ)'!Q17+'Э2 (СЗ)'!Q17+'Э3 (СЗ)'!Q17+'Э4 (СЗ)'!Q17</f>
        <v>307786.12406017829</v>
      </c>
      <c r="R12" s="38">
        <f>'Э1 (СЗ)'!R17+'Э2 (СЗ)'!R17+'Э3 (СЗ)'!R17+'Э4 (СЗ)'!R17</f>
        <v>313145.87166907685</v>
      </c>
      <c r="S12" s="38">
        <f>'Э1 (СЗ)'!S17+'Э2 (СЗ)'!S17+'Э3 (СЗ)'!S17+'Э4 (СЗ)'!S17</f>
        <v>208725.35766072059</v>
      </c>
      <c r="T12" s="38">
        <f>'Э1 (СЗ)'!T17+'Э2 (СЗ)'!T17+'Э3 (СЗ)'!T17+'Э4 (СЗ)'!T17</f>
        <v>211856.23802563135</v>
      </c>
      <c r="U12" s="38">
        <f>'Э1 (СЗ)'!U17+'Э2 (СЗ)'!U17+'Э3 (СЗ)'!U17+'Э4 (СЗ)'!U17</f>
        <v>105916.37951262339</v>
      </c>
      <c r="V12" s="38">
        <f>'Э1 (СЗ)'!V17+'Э2 (СЗ)'!V17+'Э3 (СЗ)'!V17+'Э4 (СЗ)'!V17</f>
        <v>107505.12520531272</v>
      </c>
      <c r="W12" s="38">
        <f>'Э1 (СЗ)'!W17+'Э2 (СЗ)'!W17+'Э3 (СЗ)'!W17+'Э4 (СЗ)'!W17</f>
        <v>0</v>
      </c>
      <c r="X12" s="38">
        <f>'Э1 (СЗ)'!X17+'Э2 (СЗ)'!X17+'Э3 (СЗ)'!X17+'Э4 (СЗ)'!X17</f>
        <v>0</v>
      </c>
      <c r="Y12" s="38">
        <f>'Э1 (СЗ)'!Y17+'Э2 (СЗ)'!Y17+'Э3 (СЗ)'!Y17+'Э4 (СЗ)'!Y17</f>
        <v>0</v>
      </c>
      <c r="Z12" s="38">
        <f>'Э1 (СЗ)'!Z17+'Э2 (СЗ)'!Z17+'Э3 (СЗ)'!Z17+'Э4 (СЗ)'!Z17</f>
        <v>0</v>
      </c>
    </row>
    <row r="13" spans="1:26" x14ac:dyDescent="0.2">
      <c r="A13" s="9" t="s">
        <v>39</v>
      </c>
      <c r="B13" s="4">
        <f t="shared" si="0"/>
        <v>0</v>
      </c>
      <c r="C13" s="39">
        <f>'Э1 (СЗ)'!C18+'Э2 (СЗ)'!C18+'Э3 (СЗ)'!C18+'Э4 (СЗ)'!C18</f>
        <v>0</v>
      </c>
      <c r="D13" s="39">
        <f>'Э1 (СЗ)'!D18+'Э2 (СЗ)'!D18+'Э3 (СЗ)'!D18+'Э4 (СЗ)'!D18</f>
        <v>0</v>
      </c>
      <c r="E13" s="39">
        <f>'Э1 (СЗ)'!E18+'Э2 (СЗ)'!E18+'Э3 (СЗ)'!E18+'Э4 (СЗ)'!E18</f>
        <v>0</v>
      </c>
      <c r="F13" s="39">
        <f>'Э1 (СЗ)'!F18+'Э2 (СЗ)'!F18+'Э3 (СЗ)'!F18+'Э4 (СЗ)'!F18</f>
        <v>0</v>
      </c>
      <c r="G13" s="39">
        <f>'Э1 (СЗ)'!G18+'Э2 (СЗ)'!G18+'Э3 (СЗ)'!G18+'Э4 (СЗ)'!G18</f>
        <v>0</v>
      </c>
      <c r="H13" s="39">
        <f>'Э1 (СЗ)'!H18+'Э2 (СЗ)'!H18+'Э3 (СЗ)'!H18+'Э4 (СЗ)'!H18</f>
        <v>0</v>
      </c>
      <c r="I13" s="39">
        <f>'Э1 (СЗ)'!I18+'Э2 (СЗ)'!I18+'Э3 (СЗ)'!I18+'Э4 (СЗ)'!I18</f>
        <v>0</v>
      </c>
      <c r="J13" s="39">
        <f>'Э1 (СЗ)'!J18+'Э2 (СЗ)'!J18+'Э3 (СЗ)'!J18+'Э4 (СЗ)'!J18</f>
        <v>0</v>
      </c>
      <c r="K13" s="39">
        <f>'Э1 (СЗ)'!K18+'Э2 (СЗ)'!K18+'Э3 (СЗ)'!K18+'Э4 (СЗ)'!K18</f>
        <v>0</v>
      </c>
      <c r="L13" s="39">
        <f>'Э1 (СЗ)'!L18+'Э2 (СЗ)'!L18+'Э3 (СЗ)'!L18+'Э4 (СЗ)'!L18</f>
        <v>0</v>
      </c>
      <c r="M13" s="39">
        <f>'Э1 (СЗ)'!M18+'Э2 (СЗ)'!M18+'Э3 (СЗ)'!M18+'Э4 (СЗ)'!M18</f>
        <v>0</v>
      </c>
      <c r="N13" s="39">
        <f>'Э1 (СЗ)'!N18+'Э2 (СЗ)'!N18+'Э3 (СЗ)'!N18+'Э4 (СЗ)'!N18</f>
        <v>0</v>
      </c>
      <c r="O13" s="39">
        <f>'Э1 (СЗ)'!O18+'Э2 (СЗ)'!O18+'Э3 (СЗ)'!O18+'Э4 (СЗ)'!O18</f>
        <v>0</v>
      </c>
      <c r="P13" s="39">
        <f>'Э1 (СЗ)'!P18+'Э2 (СЗ)'!P18+'Э3 (СЗ)'!P18+'Э4 (СЗ)'!P18</f>
        <v>0</v>
      </c>
      <c r="Q13" s="39">
        <f>'Э1 (СЗ)'!Q18+'Э2 (СЗ)'!Q18+'Э3 (СЗ)'!Q18+'Э4 (СЗ)'!Q18</f>
        <v>0</v>
      </c>
      <c r="R13" s="39">
        <f>'Э1 (СЗ)'!R18+'Э2 (СЗ)'!R18+'Э3 (СЗ)'!R18+'Э4 (СЗ)'!R18</f>
        <v>0</v>
      </c>
      <c r="S13" s="39">
        <f>'Э1 (СЗ)'!S18+'Э2 (СЗ)'!S18+'Э3 (СЗ)'!S18+'Э4 (СЗ)'!S18</f>
        <v>0</v>
      </c>
      <c r="T13" s="39">
        <f>'Э1 (СЗ)'!T18+'Э2 (СЗ)'!T18+'Э3 (СЗ)'!T18+'Э4 (СЗ)'!T18</f>
        <v>0</v>
      </c>
      <c r="U13" s="39">
        <f>'Э1 (СЗ)'!U18+'Э2 (СЗ)'!U18+'Э3 (СЗ)'!U18+'Э4 (СЗ)'!U18</f>
        <v>0</v>
      </c>
      <c r="V13" s="39">
        <f>'Э1 (СЗ)'!V18+'Э2 (СЗ)'!V18+'Э3 (СЗ)'!V18+'Э4 (СЗ)'!V18</f>
        <v>0</v>
      </c>
      <c r="W13" s="39">
        <f>'Э1 (СЗ)'!W18+'Э2 (СЗ)'!W18+'Э3 (СЗ)'!W18+'Э4 (СЗ)'!W18</f>
        <v>0</v>
      </c>
      <c r="X13" s="39">
        <f>'Э1 (СЗ)'!X18+'Э2 (СЗ)'!X18+'Э3 (СЗ)'!X18+'Э4 (СЗ)'!X18</f>
        <v>0</v>
      </c>
      <c r="Y13" s="39">
        <f>'Э1 (СЗ)'!Y18+'Э2 (СЗ)'!Y18+'Э3 (СЗ)'!Y18+'Э4 (СЗ)'!Y18</f>
        <v>0</v>
      </c>
      <c r="Z13" s="39">
        <f>'Э1 (СЗ)'!Z18+'Э2 (СЗ)'!Z18+'Э3 (СЗ)'!Z18+'Э4 (СЗ)'!Z18</f>
        <v>0</v>
      </c>
    </row>
    <row r="14" spans="1:26" x14ac:dyDescent="0.2">
      <c r="A14" s="9" t="s">
        <v>20</v>
      </c>
      <c r="B14" s="4">
        <f t="shared" si="0"/>
        <v>221100.65821255665</v>
      </c>
      <c r="C14" s="38">
        <f>'Э1 (СЗ)'!C19+'Э2 (СЗ)'!C19+'Э3 (СЗ)'!C19+'Э4 (СЗ)'!C19</f>
        <v>0</v>
      </c>
      <c r="D14" s="38">
        <f>'Э1 (СЗ)'!D19+'Э2 (СЗ)'!D19+'Э3 (СЗ)'!D19+'Э4 (СЗ)'!D19</f>
        <v>0</v>
      </c>
      <c r="E14" s="38">
        <f>'Э1 (СЗ)'!E19+'Э2 (СЗ)'!E19+'Э3 (СЗ)'!E19+'Э4 (СЗ)'!E19</f>
        <v>0</v>
      </c>
      <c r="F14" s="38">
        <f>'Э1 (СЗ)'!F19+'Э2 (СЗ)'!F19+'Э3 (СЗ)'!F19+'Э4 (СЗ)'!F19</f>
        <v>35870.327999999994</v>
      </c>
      <c r="G14" s="38">
        <f>'Э1 (СЗ)'!G19+'Э2 (СЗ)'!G19+'Э3 (СЗ)'!G19+'Э4 (СЗ)'!G19</f>
        <v>35870.327999999994</v>
      </c>
      <c r="H14" s="38">
        <f>'Э1 (СЗ)'!H19+'Э2 (СЗ)'!H19+'Э3 (СЗ)'!H19+'Э4 (СЗ)'!H19</f>
        <v>42610.522600192024</v>
      </c>
      <c r="I14" s="38">
        <f>'Э1 (СЗ)'!I19+'Э2 (СЗ)'!I19+'Э3 (СЗ)'!I19+'Э4 (СЗ)'!I19</f>
        <v>42610.522600192024</v>
      </c>
      <c r="J14" s="38">
        <f>'Э1 (СЗ)'!J19+'Э2 (СЗ)'!J19+'Э3 (СЗ)'!J19+'Э4 (СЗ)'!J19</f>
        <v>42826.339532767022</v>
      </c>
      <c r="K14" s="38">
        <f>'Э1 (СЗ)'!K19+'Э2 (СЗ)'!K19+'Э3 (СЗ)'!K19+'Э4 (СЗ)'!K19</f>
        <v>6956.0115327670264</v>
      </c>
      <c r="L14" s="38">
        <f>'Э1 (СЗ)'!L19+'Э2 (СЗ)'!L19+'Э3 (СЗ)'!L19+'Э4 (СЗ)'!L19</f>
        <v>7178.3029733192752</v>
      </c>
      <c r="M14" s="38">
        <f>'Э1 (СЗ)'!M19+'Э2 (СЗ)'!M19+'Э3 (СЗ)'!M19+'Э4 (СЗ)'!M19</f>
        <v>7178.3029733192752</v>
      </c>
      <c r="N14" s="38">
        <f>'Э1 (СЗ)'!N19+'Э2 (СЗ)'!N19+'Э3 (СЗ)'!N19+'Э4 (СЗ)'!N19</f>
        <v>0</v>
      </c>
      <c r="O14" s="38">
        <f>'Э1 (СЗ)'!O19+'Э2 (СЗ)'!O19+'Э3 (СЗ)'!O19+'Э4 (СЗ)'!O19</f>
        <v>0</v>
      </c>
      <c r="P14" s="38">
        <f>'Э1 (СЗ)'!P19+'Э2 (СЗ)'!P19+'Э3 (СЗ)'!P19+'Э4 (СЗ)'!P19</f>
        <v>0</v>
      </c>
      <c r="Q14" s="38">
        <f>'Э1 (СЗ)'!Q19+'Э2 (СЗ)'!Q19+'Э3 (СЗ)'!Q19+'Э4 (СЗ)'!Q19</f>
        <v>0</v>
      </c>
      <c r="R14" s="38">
        <f>'Э1 (СЗ)'!R19+'Э2 (СЗ)'!R19+'Э3 (СЗ)'!R19+'Э4 (СЗ)'!R19</f>
        <v>0</v>
      </c>
      <c r="S14" s="38">
        <f>'Э1 (СЗ)'!S19+'Э2 (СЗ)'!S19+'Э3 (СЗ)'!S19+'Э4 (СЗ)'!S19</f>
        <v>0</v>
      </c>
      <c r="T14" s="38">
        <f>'Э1 (СЗ)'!T19+'Э2 (СЗ)'!T19+'Э3 (СЗ)'!T19+'Э4 (СЗ)'!T19</f>
        <v>0</v>
      </c>
      <c r="U14" s="38">
        <f>'Э1 (СЗ)'!U19+'Э2 (СЗ)'!U19+'Э3 (СЗ)'!U19+'Э4 (СЗ)'!U19</f>
        <v>0</v>
      </c>
      <c r="V14" s="38">
        <f>'Э1 (СЗ)'!V19+'Э2 (СЗ)'!V19+'Э3 (СЗ)'!V19+'Э4 (СЗ)'!V19</f>
        <v>0</v>
      </c>
      <c r="W14" s="38">
        <f>'Э1 (СЗ)'!W19+'Э2 (СЗ)'!W19+'Э3 (СЗ)'!W19+'Э4 (СЗ)'!W19</f>
        <v>0</v>
      </c>
      <c r="X14" s="38">
        <f>'Э1 (СЗ)'!X19+'Э2 (СЗ)'!X19+'Э3 (СЗ)'!X19+'Э4 (СЗ)'!X19</f>
        <v>0</v>
      </c>
      <c r="Y14" s="38">
        <f>'Э1 (СЗ)'!Y19+'Э2 (СЗ)'!Y19+'Э3 (СЗ)'!Y19+'Э4 (СЗ)'!Y19</f>
        <v>0</v>
      </c>
      <c r="Z14" s="38">
        <f>'Э1 (СЗ)'!Z19+'Э2 (СЗ)'!Z19+'Э3 (СЗ)'!Z19+'Э4 (СЗ)'!Z19</f>
        <v>0</v>
      </c>
    </row>
    <row r="15" spans="1:26" x14ac:dyDescent="0.2">
      <c r="A15" s="9" t="s">
        <v>21</v>
      </c>
      <c r="B15" s="4">
        <f t="shared" si="0"/>
        <v>41177.0714133375</v>
      </c>
      <c r="C15" s="38">
        <f>'Э1 (СЗ)'!C20+'Э2 (СЗ)'!C20+'Э3 (СЗ)'!C20+'Э4 (СЗ)'!C20</f>
        <v>0</v>
      </c>
      <c r="D15" s="38">
        <f>'Э1 (СЗ)'!D20+'Э2 (СЗ)'!D20+'Э3 (СЗ)'!D20+'Э4 (СЗ)'!D20</f>
        <v>0</v>
      </c>
      <c r="E15" s="38">
        <f>'Э1 (СЗ)'!E20+'Э2 (СЗ)'!E20+'Э3 (СЗ)'!E20+'Э4 (СЗ)'!E20</f>
        <v>0</v>
      </c>
      <c r="F15" s="38">
        <f>'Э1 (СЗ)'!F20+'Э2 (СЗ)'!F20+'Э3 (СЗ)'!F20+'Э4 (СЗ)'!F20</f>
        <v>0</v>
      </c>
      <c r="G15" s="38">
        <f>'Э1 (СЗ)'!G20+'Э2 (СЗ)'!G20+'Э3 (СЗ)'!G20+'Э4 (СЗ)'!G20</f>
        <v>0</v>
      </c>
      <c r="H15" s="38">
        <f>'Э1 (СЗ)'!H20+'Э2 (СЗ)'!H20+'Э3 (СЗ)'!H20+'Э4 (СЗ)'!H20</f>
        <v>6661.0164375000013</v>
      </c>
      <c r="I15" s="38">
        <f>'Э1 (СЗ)'!I20+'Э2 (СЗ)'!I20+'Э3 (СЗ)'!I20+'Э4 (СЗ)'!I20</f>
        <v>6661.0164375000013</v>
      </c>
      <c r="J15" s="38">
        <f>'Э1 (СЗ)'!J20+'Э2 (СЗ)'!J20+'Э3 (СЗ)'!J20+'Э4 (СЗ)'!J20</f>
        <v>6860.8469306250008</v>
      </c>
      <c r="K15" s="38">
        <f>'Э1 (СЗ)'!K20+'Э2 (СЗ)'!K20+'Э3 (СЗ)'!K20+'Э4 (СЗ)'!K20</f>
        <v>6860.8469306250008</v>
      </c>
      <c r="L15" s="38">
        <f>'Э1 (СЗ)'!L20+'Э2 (СЗ)'!L20+'Э3 (СЗ)'!L20+'Э4 (СЗ)'!L20</f>
        <v>7066.6723385437499</v>
      </c>
      <c r="M15" s="38">
        <f>'Э1 (СЗ)'!M20+'Э2 (СЗ)'!M20+'Э3 (СЗ)'!M20+'Э4 (СЗ)'!M20</f>
        <v>7066.6723385437499</v>
      </c>
      <c r="N15" s="38">
        <f>'Э1 (СЗ)'!N20+'Э2 (СЗ)'!N20+'Э3 (СЗ)'!N20+'Э4 (СЗ)'!N20</f>
        <v>0</v>
      </c>
      <c r="O15" s="38">
        <f>'Э1 (СЗ)'!O20+'Э2 (СЗ)'!O20+'Э3 (СЗ)'!O20+'Э4 (СЗ)'!O20</f>
        <v>0</v>
      </c>
      <c r="P15" s="38">
        <f>'Э1 (СЗ)'!P20+'Э2 (СЗ)'!P20+'Э3 (СЗ)'!P20+'Э4 (СЗ)'!P20</f>
        <v>0</v>
      </c>
      <c r="Q15" s="38">
        <f>'Э1 (СЗ)'!Q20+'Э2 (СЗ)'!Q20+'Э3 (СЗ)'!Q20+'Э4 (СЗ)'!Q20</f>
        <v>0</v>
      </c>
      <c r="R15" s="38">
        <f>'Э1 (СЗ)'!R20+'Э2 (СЗ)'!R20+'Э3 (СЗ)'!R20+'Э4 (СЗ)'!R20</f>
        <v>0</v>
      </c>
      <c r="S15" s="38">
        <f>'Э1 (СЗ)'!S20+'Э2 (СЗ)'!S20+'Э3 (СЗ)'!S20+'Э4 (СЗ)'!S20</f>
        <v>0</v>
      </c>
      <c r="T15" s="38">
        <f>'Э1 (СЗ)'!T20+'Э2 (СЗ)'!T20+'Э3 (СЗ)'!T20+'Э4 (СЗ)'!T20</f>
        <v>0</v>
      </c>
      <c r="U15" s="38">
        <f>'Э1 (СЗ)'!U20+'Э2 (СЗ)'!U20+'Э3 (СЗ)'!U20+'Э4 (СЗ)'!U20</f>
        <v>0</v>
      </c>
      <c r="V15" s="38">
        <f>'Э1 (СЗ)'!V20+'Э2 (СЗ)'!V20+'Э3 (СЗ)'!V20+'Э4 (СЗ)'!V20</f>
        <v>0</v>
      </c>
      <c r="W15" s="38">
        <f>'Э1 (СЗ)'!W20+'Э2 (СЗ)'!W20+'Э3 (СЗ)'!W20+'Э4 (СЗ)'!W20</f>
        <v>0</v>
      </c>
      <c r="X15" s="38">
        <f>'Э1 (СЗ)'!X20+'Э2 (СЗ)'!X20+'Э3 (СЗ)'!X20+'Э4 (СЗ)'!X20</f>
        <v>0</v>
      </c>
      <c r="Y15" s="38">
        <f>'Э1 (СЗ)'!Y20+'Э2 (СЗ)'!Y20+'Э3 (СЗ)'!Y20+'Э4 (СЗ)'!Y20</f>
        <v>0</v>
      </c>
      <c r="Z15" s="38">
        <f>'Э1 (СЗ)'!Z20+'Э2 (СЗ)'!Z20+'Э3 (СЗ)'!Z20+'Э4 (СЗ)'!Z20</f>
        <v>0</v>
      </c>
    </row>
    <row r="16" spans="1:26" s="28" customFormat="1" x14ac:dyDescent="0.2">
      <c r="A16" s="29" t="s">
        <v>22</v>
      </c>
      <c r="B16" s="65"/>
      <c r="C16" s="42">
        <f>'Э1 (СЗ)'!C21+'Э2 (СЗ)'!C21+'Э3 (СЗ)'!C21+'Э4 (СЗ)'!C21</f>
        <v>0</v>
      </c>
      <c r="D16" s="42">
        <f>'Э1 (СЗ)'!D21+'Э2 (СЗ)'!D21+'Э3 (СЗ)'!D21+'Э4 (СЗ)'!D21</f>
        <v>0</v>
      </c>
      <c r="E16" s="42">
        <f>'Э1 (СЗ)'!E21+'Э2 (СЗ)'!E21+'Э3 (СЗ)'!E21+'Э4 (СЗ)'!E21</f>
        <v>0</v>
      </c>
      <c r="F16" s="42">
        <f>'Э1 (СЗ)'!F21+'Э2 (СЗ)'!F21+'Э3 (СЗ)'!F21+'Э4 (СЗ)'!F21</f>
        <v>0</v>
      </c>
      <c r="G16" s="42">
        <f>'Э1 (СЗ)'!G21+'Э2 (СЗ)'!G21+'Э3 (СЗ)'!G21+'Э4 (СЗ)'!G21</f>
        <v>0</v>
      </c>
      <c r="H16" s="42">
        <f>'Э1 (СЗ)'!H21+'Э2 (СЗ)'!H21+'Э3 (СЗ)'!H21+'Э4 (СЗ)'!H21</f>
        <v>6661.0164375000013</v>
      </c>
      <c r="I16" s="42">
        <f>'Э1 (СЗ)'!I21+'Э2 (СЗ)'!I21+'Э3 (СЗ)'!I21+'Э4 (СЗ)'!I21</f>
        <v>13322.032875000003</v>
      </c>
      <c r="J16" s="42">
        <f>'Э1 (СЗ)'!J21+'Э2 (СЗ)'!J21+'Э3 (СЗ)'!J21+'Э4 (СЗ)'!J21</f>
        <v>20182.879805625002</v>
      </c>
      <c r="K16" s="42">
        <f>'Э1 (СЗ)'!K21+'Э2 (СЗ)'!K21+'Э3 (СЗ)'!K21+'Э4 (СЗ)'!K21</f>
        <v>27043.726736250006</v>
      </c>
      <c r="L16" s="42">
        <f>'Э1 (СЗ)'!L21+'Э2 (СЗ)'!L21+'Э3 (СЗ)'!L21+'Э4 (СЗ)'!L21</f>
        <v>34110.399074793757</v>
      </c>
      <c r="M16" s="42">
        <f>'Э1 (СЗ)'!M21+'Э2 (СЗ)'!M21+'Э3 (СЗ)'!M21+'Э4 (СЗ)'!M21</f>
        <v>41177.071413337508</v>
      </c>
      <c r="N16" s="42">
        <f>'Э1 (СЗ)'!N21+'Э2 (СЗ)'!N21+'Э3 (СЗ)'!N21+'Э4 (СЗ)'!N21</f>
        <v>41177.071413337508</v>
      </c>
      <c r="O16" s="42">
        <f>'Э1 (СЗ)'!O21+'Э2 (СЗ)'!O21+'Э3 (СЗ)'!O21+'Э4 (СЗ)'!O21</f>
        <v>41177.071413337508</v>
      </c>
      <c r="P16" s="42">
        <f>'Э1 (СЗ)'!P21+'Э2 (СЗ)'!P21+'Э3 (СЗ)'!P21+'Э4 (СЗ)'!P21</f>
        <v>27855.038538337503</v>
      </c>
      <c r="Q16" s="42">
        <f>'Э1 (СЗ)'!Q21+'Э2 (СЗ)'!Q21+'Э3 (СЗ)'!Q21+'Э4 (СЗ)'!Q21</f>
        <v>27855.038538337503</v>
      </c>
      <c r="R16" s="42">
        <f>'Э1 (СЗ)'!R21+'Э2 (СЗ)'!R21+'Э3 (СЗ)'!R21+'Э4 (СЗ)'!R21</f>
        <v>14133.3446770875</v>
      </c>
      <c r="S16" s="42">
        <f>'Э1 (СЗ)'!S21+'Э2 (СЗ)'!S21+'Э3 (СЗ)'!S21+'Э4 (СЗ)'!S21</f>
        <v>14133.3446770875</v>
      </c>
      <c r="T16" s="42">
        <f>'Э1 (СЗ)'!T21+'Э2 (СЗ)'!T21+'Э3 (СЗ)'!T21+'Э4 (СЗ)'!T21</f>
        <v>14133.3446770875</v>
      </c>
      <c r="U16" s="42">
        <f>'Э1 (СЗ)'!U21+'Э2 (СЗ)'!U21+'Э3 (СЗ)'!U21+'Э4 (СЗ)'!U21</f>
        <v>0</v>
      </c>
      <c r="V16" s="42">
        <f>'Э1 (СЗ)'!V21+'Э2 (СЗ)'!V21+'Э3 (СЗ)'!V21+'Э4 (СЗ)'!V21</f>
        <v>0</v>
      </c>
      <c r="W16" s="42">
        <f>'Э1 (СЗ)'!W21+'Э2 (СЗ)'!W21+'Э3 (СЗ)'!W21+'Э4 (СЗ)'!W21</f>
        <v>0</v>
      </c>
      <c r="X16" s="42">
        <f>'Э1 (СЗ)'!X21+'Э2 (СЗ)'!X21+'Э3 (СЗ)'!X21+'Э4 (СЗ)'!X21</f>
        <v>0</v>
      </c>
      <c r="Y16" s="42">
        <f>'Э1 (СЗ)'!Y21+'Э2 (СЗ)'!Y21+'Э3 (СЗ)'!Y21+'Э4 (СЗ)'!Y21</f>
        <v>0</v>
      </c>
      <c r="Z16" s="42">
        <f>'Э1 (СЗ)'!Z21+'Э2 (СЗ)'!Z21+'Э3 (СЗ)'!Z21+'Э4 (СЗ)'!Z21</f>
        <v>0</v>
      </c>
    </row>
    <row r="17" spans="1:26" s="44" customFormat="1" x14ac:dyDescent="0.2">
      <c r="A17" s="43" t="s">
        <v>13</v>
      </c>
      <c r="B17" s="49">
        <f t="shared" ref="B17:B24" si="2">SUM(C17:Z17)</f>
        <v>-2044933.9659841973</v>
      </c>
      <c r="C17" s="49">
        <f t="shared" ref="C17:V17" si="3">SUM(C18:C24)</f>
        <v>0</v>
      </c>
      <c r="D17" s="49">
        <f t="shared" si="3"/>
        <v>0</v>
      </c>
      <c r="E17" s="49">
        <f t="shared" si="3"/>
        <v>0</v>
      </c>
      <c r="F17" s="49">
        <f t="shared" si="3"/>
        <v>-35870.327999999994</v>
      </c>
      <c r="G17" s="49">
        <f t="shared" si="3"/>
        <v>-35870.327999999994</v>
      </c>
      <c r="H17" s="49">
        <f t="shared" si="3"/>
        <v>-49271.539037692026</v>
      </c>
      <c r="I17" s="49">
        <f t="shared" si="3"/>
        <v>-49271.539037692026</v>
      </c>
      <c r="J17" s="49">
        <f t="shared" si="3"/>
        <v>-159464.52028648552</v>
      </c>
      <c r="K17" s="49">
        <f t="shared" si="3"/>
        <v>-120159.65016481833</v>
      </c>
      <c r="L17" s="49">
        <f t="shared" si="3"/>
        <v>-235223.10993229219</v>
      </c>
      <c r="M17" s="49">
        <f t="shared" si="3"/>
        <v>-233249.30126691933</v>
      </c>
      <c r="N17" s="49">
        <f t="shared" si="3"/>
        <v>-338703.92581568792</v>
      </c>
      <c r="O17" s="49">
        <f t="shared" si="3"/>
        <v>-235419.42270476889</v>
      </c>
      <c r="P17" s="49">
        <f t="shared" si="3"/>
        <v>-247030.71865193665</v>
      </c>
      <c r="Q17" s="49">
        <f t="shared" si="3"/>
        <v>-128516.08253108349</v>
      </c>
      <c r="R17" s="49">
        <f t="shared" si="3"/>
        <v>-138616.06295266622</v>
      </c>
      <c r="S17" s="49">
        <f t="shared" si="3"/>
        <v>-12583.184894402015</v>
      </c>
      <c r="T17" s="49">
        <f t="shared" si="3"/>
        <v>-4279.1421924253227</v>
      </c>
      <c r="U17" s="49">
        <f t="shared" si="3"/>
        <v>-19255.00801122106</v>
      </c>
      <c r="V17" s="49">
        <f t="shared" si="3"/>
        <v>-2150.1025041062544</v>
      </c>
      <c r="W17" s="49">
        <f t="shared" ref="W17:Z17" si="4">SUM(W18:W22)</f>
        <v>0</v>
      </c>
      <c r="X17" s="49">
        <f t="shared" si="4"/>
        <v>0</v>
      </c>
      <c r="Y17" s="49">
        <f t="shared" si="4"/>
        <v>0</v>
      </c>
      <c r="Z17" s="49">
        <f t="shared" si="4"/>
        <v>0</v>
      </c>
    </row>
    <row r="18" spans="1:26" x14ac:dyDescent="0.2">
      <c r="A18" s="9" t="s">
        <v>23</v>
      </c>
      <c r="B18" s="4">
        <f t="shared" si="2"/>
        <v>-1819536.3565334999</v>
      </c>
      <c r="C18" s="38">
        <f>'Э1 (СЗ)'!C23+'Э2 (СЗ)'!C23+'Э3 (СЗ)'!C23+'Э4 (СЗ)'!C23</f>
        <v>0</v>
      </c>
      <c r="D18" s="38">
        <f>'Э1 (СЗ)'!D23+'Э2 (СЗ)'!D23+'Э3 (СЗ)'!D23+'Э4 (СЗ)'!D23</f>
        <v>0</v>
      </c>
      <c r="E18" s="38">
        <f>'Э1 (СЗ)'!E23+'Э2 (СЗ)'!E23+'Э3 (СЗ)'!E23+'Э4 (СЗ)'!E23</f>
        <v>0</v>
      </c>
      <c r="F18" s="38">
        <f>'Э1 (СЗ)'!F23+'Э2 (СЗ)'!F23+'Э3 (СЗ)'!F23+'Э4 (СЗ)'!F23</f>
        <v>-34490.699999999997</v>
      </c>
      <c r="G18" s="38">
        <f>'Э1 (СЗ)'!G23+'Э2 (СЗ)'!G23+'Э3 (СЗ)'!G23+'Э4 (СЗ)'!G23</f>
        <v>-34490.699999999997</v>
      </c>
      <c r="H18" s="38">
        <f>'Э1 (СЗ)'!H23+'Э2 (СЗ)'!H23+'Э3 (СЗ)'!H23+'Э4 (СЗ)'!H23</f>
        <v>-47812.732875000002</v>
      </c>
      <c r="I18" s="38">
        <f>'Э1 (СЗ)'!I23+'Э2 (СЗ)'!I23+'Э3 (СЗ)'!I23+'Э4 (СЗ)'!I23</f>
        <v>-47812.732875000002</v>
      </c>
      <c r="J18" s="38">
        <f>'Э1 (СЗ)'!J23+'Э2 (СЗ)'!J23+'Э3 (СЗ)'!J23+'Э4 (СЗ)'!J23</f>
        <v>-149459.84371125</v>
      </c>
      <c r="K18" s="38">
        <f>'Э1 (СЗ)'!K23+'Э2 (СЗ)'!K23+'Э3 (СЗ)'!K23+'Э4 (СЗ)'!K23</f>
        <v>-114969.14371125001</v>
      </c>
      <c r="L18" s="38">
        <f>'Э1 (СЗ)'!L23+'Э2 (СЗ)'!L23+'Э3 (СЗ)'!L23+'Э4 (СЗ)'!L23</f>
        <v>-219665.66787258751</v>
      </c>
      <c r="M18" s="38">
        <f>'Э1 (СЗ)'!M23+'Э2 (СЗ)'!M23+'Э3 (СЗ)'!M23+'Э4 (СЗ)'!M23</f>
        <v>-219665.66787258751</v>
      </c>
      <c r="N18" s="38">
        <f>'Э1 (СЗ)'!N23+'Э2 (СЗ)'!N23+'Э3 (СЗ)'!N23+'Э4 (СЗ)'!N23</f>
        <v>-312945.74274136499</v>
      </c>
      <c r="O18" s="38">
        <f>'Э1 (СЗ)'!O23+'Э2 (СЗ)'!O23+'Э3 (СЗ)'!O23+'Э4 (СЗ)'!O23</f>
        <v>-211698.29289136501</v>
      </c>
      <c r="P18" s="38">
        <f>'Э1 (СЗ)'!P23+'Э2 (СЗ)'!P23+'Э3 (СЗ)'!P23+'Э4 (СЗ)'!P23</f>
        <v>-211698.29289136501</v>
      </c>
      <c r="Q18" s="38">
        <f>'Э1 (СЗ)'!Q23+'Э2 (СЗ)'!Q23+'Э3 (СЗ)'!Q23+'Э4 (СЗ)'!Q23</f>
        <v>-107413.41954586499</v>
      </c>
      <c r="R18" s="38">
        <f>'Э1 (СЗ)'!R23+'Э2 (СЗ)'!R23+'Э3 (СЗ)'!R23+'Э4 (СЗ)'!R23</f>
        <v>-107413.41954586499</v>
      </c>
      <c r="S18" s="38">
        <f>'Э1 (СЗ)'!S23+'Э2 (СЗ)'!S23+'Э3 (СЗ)'!S23+'Э4 (СЗ)'!S23</f>
        <v>0</v>
      </c>
      <c r="T18" s="38">
        <f>'Э1 (СЗ)'!T23+'Э2 (СЗ)'!T23+'Э3 (СЗ)'!T23+'Э4 (СЗ)'!T23</f>
        <v>0</v>
      </c>
      <c r="U18" s="38">
        <f>'Э1 (СЗ)'!U23+'Э2 (СЗ)'!U23+'Э3 (СЗ)'!U23+'Э4 (СЗ)'!U23</f>
        <v>0</v>
      </c>
      <c r="V18" s="38">
        <f>'Э1 (СЗ)'!V23+'Э2 (СЗ)'!V23+'Э3 (СЗ)'!V23+'Э4 (СЗ)'!V23</f>
        <v>0</v>
      </c>
      <c r="W18" s="38">
        <f>'Э1 (СЗ)'!W23+'Э2 (СЗ)'!W23+'Э3 (СЗ)'!W23+'Э4 (СЗ)'!W23</f>
        <v>0</v>
      </c>
      <c r="X18" s="38">
        <f>'Э1 (СЗ)'!X23+'Э2 (СЗ)'!X23+'Э3 (СЗ)'!X23+'Э4 (СЗ)'!X23</f>
        <v>0</v>
      </c>
      <c r="Y18" s="38">
        <f>'Э1 (СЗ)'!Y23+'Э2 (СЗ)'!Y23+'Э3 (СЗ)'!Y23+'Э4 (СЗ)'!Y23</f>
        <v>0</v>
      </c>
      <c r="Z18" s="38">
        <f>'Э1 (СЗ)'!Z23+'Э2 (СЗ)'!Z23+'Э3 (СЗ)'!Z23+'Э4 (СЗ)'!Z23</f>
        <v>0</v>
      </c>
    </row>
    <row r="19" spans="1:26" x14ac:dyDescent="0.2">
      <c r="A19" s="9" t="s">
        <v>145</v>
      </c>
      <c r="B19" s="4">
        <f>SUM(C19:Z19)</f>
        <v>-72650.646708809974</v>
      </c>
      <c r="C19" s="38">
        <f>'Э1 (СЗ)'!C24+'Э2 (СЗ)'!C24+'Э3 (СЗ)'!C24+'Э4 (СЗ)'!C24</f>
        <v>0</v>
      </c>
      <c r="D19" s="38">
        <f>'Э1 (СЗ)'!D24+'Э2 (СЗ)'!D24+'Э3 (СЗ)'!D24+'Э4 (СЗ)'!D24</f>
        <v>0</v>
      </c>
      <c r="E19" s="38">
        <f>'Э1 (СЗ)'!E24+'Э2 (СЗ)'!E24+'Э3 (СЗ)'!E24+'Э4 (СЗ)'!E24</f>
        <v>0</v>
      </c>
      <c r="F19" s="38">
        <f>'Э1 (СЗ)'!F24+'Э2 (СЗ)'!F24+'Э3 (СЗ)'!F24+'Э4 (СЗ)'!F24</f>
        <v>-1379.6279999999999</v>
      </c>
      <c r="G19" s="38">
        <f>'Э1 (СЗ)'!G24+'Э2 (СЗ)'!G24+'Э3 (СЗ)'!G24+'Э4 (СЗ)'!G24</f>
        <v>-1379.6279999999999</v>
      </c>
      <c r="H19" s="38">
        <f>'Э1 (СЗ)'!H24+'Э2 (СЗ)'!H24+'Э3 (СЗ)'!H24+'Э4 (СЗ)'!H24</f>
        <v>-1458.8061626920251</v>
      </c>
      <c r="I19" s="38">
        <f>'Э1 (СЗ)'!I24+'Э2 (СЗ)'!I24+'Э3 (СЗ)'!I24+'Э4 (СЗ)'!I24</f>
        <v>-1458.8061626920251</v>
      </c>
      <c r="J19" s="38">
        <f>'Э1 (СЗ)'!J24+'Э2 (СЗ)'!J24+'Э3 (СЗ)'!J24+'Э4 (СЗ)'!J24</f>
        <v>-3929.8295842355333</v>
      </c>
      <c r="K19" s="38">
        <f>'Э1 (СЗ)'!K24+'Э2 (СЗ)'!K24+'Э3 (СЗ)'!K24+'Э4 (СЗ)'!K24</f>
        <v>-2591.9004505123007</v>
      </c>
      <c r="L19" s="38">
        <f>'Э1 (СЗ)'!L24+'Э2 (СЗ)'!L24+'Э3 (СЗ)'!L24+'Э4 (СЗ)'!L24</f>
        <v>-5227.5374958273042</v>
      </c>
      <c r="M19" s="38">
        <f>'Э1 (СЗ)'!M24+'Э2 (СЗ)'!M24+'Э3 (СЗ)'!M24+'Э4 (СЗ)'!M24</f>
        <v>-5312.832787414347</v>
      </c>
      <c r="N19" s="38">
        <f>'Э1 (СЗ)'!N24+'Э2 (СЗ)'!N24+'Э3 (СЗ)'!N24+'Э4 (СЗ)'!N24</f>
        <v>-7990.0923582146797</v>
      </c>
      <c r="O19" s="38">
        <f>'Э1 (СЗ)'!O24+'Э2 (СЗ)'!O24+'Э3 (СЗ)'!O24+'Э4 (СЗ)'!O24</f>
        <v>-7504.0205034353639</v>
      </c>
      <c r="P19" s="38">
        <f>'Э1 (СЗ)'!P24+'Э2 (СЗ)'!P24+'Э3 (СЗ)'!P24+'Э4 (СЗ)'!P24</f>
        <v>-7622.0776325275438</v>
      </c>
      <c r="Q19" s="38">
        <f>'Э1 (СЗ)'!Q24+'Э2 (СЗ)'!Q24+'Э3 (СЗ)'!Q24+'Э4 (СЗ)'!Q24</f>
        <v>-7004.1153054975566</v>
      </c>
      <c r="R19" s="38">
        <f>'Э1 (СЗ)'!R24+'Э2 (СЗ)'!R24+'Э3 (СЗ)'!R24+'Э4 (СЗ)'!R24</f>
        <v>-7111.3102576755273</v>
      </c>
      <c r="S19" s="38">
        <f>'Э1 (СЗ)'!S24+'Э2 (СЗ)'!S24+'Э3 (СЗ)'!S24+'Э4 (СЗ)'!S24</f>
        <v>-4174.507153214412</v>
      </c>
      <c r="T19" s="38">
        <f>'Э1 (СЗ)'!T24+'Э2 (СЗ)'!T24+'Э3 (СЗ)'!T24+'Э4 (СЗ)'!T24</f>
        <v>-4237.1247605126264</v>
      </c>
      <c r="U19" s="38">
        <f>'Э1 (СЗ)'!U24+'Э2 (СЗ)'!U24+'Э3 (СЗ)'!U24+'Э4 (СЗ)'!U24</f>
        <v>-2118.3275902524679</v>
      </c>
      <c r="V19" s="38">
        <f>'Э1 (СЗ)'!V24+'Э2 (СЗ)'!V24+'Э3 (СЗ)'!V24+'Э4 (СЗ)'!V24</f>
        <v>-2150.1025041062544</v>
      </c>
      <c r="W19" s="38"/>
      <c r="X19" s="38"/>
      <c r="Y19" s="38"/>
      <c r="Z19" s="38"/>
    </row>
    <row r="20" spans="1:26" x14ac:dyDescent="0.2">
      <c r="A20" s="9" t="s">
        <v>46</v>
      </c>
      <c r="B20" s="4">
        <f t="shared" si="2"/>
        <v>-72201.282547485331</v>
      </c>
      <c r="C20" s="38">
        <f>'Э1 (СЗ)'!C25+'Э2 (СЗ)'!C25+'Э3 (СЗ)'!C25+'Э4 (СЗ)'!C25</f>
        <v>0</v>
      </c>
      <c r="D20" s="38">
        <f>'Э1 (СЗ)'!D25+'Э2 (СЗ)'!D25+'Э3 (СЗ)'!D25+'Э4 (СЗ)'!D25</f>
        <v>0</v>
      </c>
      <c r="E20" s="38">
        <f>'Э1 (СЗ)'!E25+'Э2 (СЗ)'!E25+'Э3 (СЗ)'!E25+'Э4 (СЗ)'!E25</f>
        <v>0</v>
      </c>
      <c r="F20" s="38">
        <f>'Э1 (СЗ)'!F25+'Э2 (СЗ)'!F25+'Э3 (СЗ)'!F25+'Э4 (СЗ)'!F25</f>
        <v>0</v>
      </c>
      <c r="G20" s="38">
        <f>'Э1 (СЗ)'!G25+'Э2 (СЗ)'!G25+'Э3 (СЗ)'!G25+'Э4 (СЗ)'!G25</f>
        <v>0</v>
      </c>
      <c r="H20" s="38">
        <f>'Э1 (СЗ)'!H25+'Э2 (СЗ)'!H25+'Э3 (СЗ)'!H25+'Э4 (СЗ)'!H25</f>
        <v>0</v>
      </c>
      <c r="I20" s="38">
        <f>'Э1 (СЗ)'!I25+'Э2 (СЗ)'!I25+'Э3 (СЗ)'!I25+'Э4 (СЗ)'!I25</f>
        <v>0</v>
      </c>
      <c r="J20" s="38">
        <f>'Э1 (СЗ)'!J25+'Э2 (СЗ)'!J25+'Э3 (СЗ)'!J25+'Э4 (СЗ)'!J25</f>
        <v>0</v>
      </c>
      <c r="K20" s="38">
        <f>'Э1 (СЗ)'!K25+'Э2 (СЗ)'!K25+'Э3 (СЗ)'!K25+'Э4 (СЗ)'!K25</f>
        <v>-1586.1315045560148</v>
      </c>
      <c r="L20" s="38">
        <f>'Э1 (СЗ)'!L25+'Э2 (СЗ)'!L25+'Э3 (СЗ)'!L25+'Э4 (СЗ)'!L25</f>
        <v>-3060.3376646473689</v>
      </c>
      <c r="M20" s="38">
        <f>'Э1 (СЗ)'!M25+'Э2 (СЗ)'!M25+'Э3 (СЗ)'!M25+'Э4 (СЗ)'!M25</f>
        <v>-6215.4773749624765</v>
      </c>
      <c r="N20" s="38">
        <f>'Э1 (СЗ)'!N25+'Э2 (СЗ)'!N25+'Э3 (СЗ)'!N25+'Э4 (СЗ)'!N25</f>
        <v>-9267.9623114013593</v>
      </c>
      <c r="O20" s="38">
        <f>'Э1 (СЗ)'!O25+'Э2 (СЗ)'!O25+'Э3 (СЗ)'!O25+'Э4 (СЗ)'!O25</f>
        <v>-14100.12638105487</v>
      </c>
      <c r="P20" s="38">
        <f>'Э1 (СЗ)'!P25+'Э2 (СЗ)'!P25+'Э3 (СЗ)'!P25+'Э4 (СЗ)'!P25</f>
        <v>-9773.451160067958</v>
      </c>
      <c r="Q20" s="38">
        <f>'Э1 (СЗ)'!Q25+'Э2 (СЗ)'!Q25+'Э3 (СЗ)'!Q25+'Э4 (СЗ)'!Q25</f>
        <v>-13024.413484262284</v>
      </c>
      <c r="R20" s="38">
        <f>'Э1 (СЗ)'!R25+'Э2 (СЗ)'!R25+'Э3 (СЗ)'!R25+'Э4 (СЗ)'!R25</f>
        <v>-6722.6874934326897</v>
      </c>
      <c r="S20" s="38">
        <f>'Э1 (СЗ)'!S25+'Э2 (СЗ)'!S25+'Э3 (СЗ)'!S25+'Э4 (СЗ)'!S25</f>
        <v>-8408.6777411876028</v>
      </c>
      <c r="T20" s="38">
        <f>'Э1 (СЗ)'!T25+'Э2 (СЗ)'!T25+'Э3 (СЗ)'!T25+'Э4 (СЗ)'!T25</f>
        <v>-42.017431912696338</v>
      </c>
      <c r="U20" s="38">
        <f>'Э1 (СЗ)'!U25+'Э2 (СЗ)'!U25+'Э3 (СЗ)'!U25+'Э4 (СЗ)'!U25</f>
        <v>0</v>
      </c>
      <c r="V20" s="38">
        <f>'Э1 (СЗ)'!V25+'Э2 (СЗ)'!V25+'Э3 (СЗ)'!V25+'Э4 (СЗ)'!V25</f>
        <v>0</v>
      </c>
      <c r="W20" s="38">
        <f>'Э1 (СЗ)'!W25+'Э2 (СЗ)'!W25+'Э3 (СЗ)'!W25+'Э4 (СЗ)'!W25</f>
        <v>0</v>
      </c>
      <c r="X20" s="38">
        <f>'Э1 (СЗ)'!X25+'Э2 (СЗ)'!X25+'Э3 (СЗ)'!X25+'Э4 (СЗ)'!X25</f>
        <v>0</v>
      </c>
      <c r="Y20" s="38">
        <f>'Э1 (СЗ)'!Y25+'Э2 (СЗ)'!Y25+'Э3 (СЗ)'!Y25+'Э4 (СЗ)'!Y25</f>
        <v>0</v>
      </c>
      <c r="Z20" s="38">
        <f>'Э1 (СЗ)'!Z25+'Э2 (СЗ)'!Z25+'Э3 (СЗ)'!Z25+'Э4 (СЗ)'!Z25</f>
        <v>0</v>
      </c>
    </row>
    <row r="21" spans="1:26" x14ac:dyDescent="0.2">
      <c r="A21" s="9" t="s">
        <v>24</v>
      </c>
      <c r="B21" s="4">
        <f t="shared" si="2"/>
        <v>-41177.071413337508</v>
      </c>
      <c r="C21" s="38">
        <f>'Э1 (СЗ)'!C26+'Э2 (СЗ)'!C26+'Э3 (СЗ)'!C26+'Э4 (СЗ)'!C26</f>
        <v>0</v>
      </c>
      <c r="D21" s="38">
        <f>'Э1 (СЗ)'!D26+'Э2 (СЗ)'!D26+'Э3 (СЗ)'!D26+'Э4 (СЗ)'!D26</f>
        <v>0</v>
      </c>
      <c r="E21" s="38">
        <f>'Э1 (СЗ)'!E26+'Э2 (СЗ)'!E26+'Э3 (СЗ)'!E26+'Э4 (СЗ)'!E26</f>
        <v>0</v>
      </c>
      <c r="F21" s="38">
        <f>'Э1 (СЗ)'!F26+'Э2 (СЗ)'!F26+'Э3 (СЗ)'!F26+'Э4 (СЗ)'!F26</f>
        <v>0</v>
      </c>
      <c r="G21" s="38">
        <f>'Э1 (СЗ)'!G26+'Э2 (СЗ)'!G26+'Э3 (СЗ)'!G26+'Э4 (СЗ)'!G26</f>
        <v>0</v>
      </c>
      <c r="H21" s="38">
        <f>'Э1 (СЗ)'!H26+'Э2 (СЗ)'!H26+'Э3 (СЗ)'!H26+'Э4 (СЗ)'!H26</f>
        <v>0</v>
      </c>
      <c r="I21" s="38">
        <f>'Э1 (СЗ)'!I26+'Э2 (СЗ)'!I26+'Э3 (СЗ)'!I26+'Э4 (СЗ)'!I26</f>
        <v>0</v>
      </c>
      <c r="J21" s="38">
        <f>'Э1 (СЗ)'!J26+'Э2 (СЗ)'!J26+'Э3 (СЗ)'!J26+'Э4 (СЗ)'!J26</f>
        <v>0</v>
      </c>
      <c r="K21" s="38">
        <f>'Э1 (СЗ)'!K26+'Э2 (СЗ)'!K26+'Э3 (СЗ)'!K26+'Э4 (СЗ)'!K26</f>
        <v>0</v>
      </c>
      <c r="L21" s="38">
        <f>'Э1 (СЗ)'!L26+'Э2 (СЗ)'!L26+'Э3 (СЗ)'!L26+'Э4 (СЗ)'!L26</f>
        <v>0</v>
      </c>
      <c r="M21" s="38">
        <f>'Э1 (СЗ)'!M26+'Э2 (СЗ)'!M26+'Э3 (СЗ)'!M26+'Э4 (СЗ)'!M26</f>
        <v>0</v>
      </c>
      <c r="N21" s="38">
        <f>'Э1 (СЗ)'!N26+'Э2 (СЗ)'!N26+'Э3 (СЗ)'!N26+'Э4 (СЗ)'!N26</f>
        <v>0</v>
      </c>
      <c r="O21" s="38">
        <f>'Э1 (СЗ)'!O26+'Э2 (СЗ)'!O26+'Э3 (СЗ)'!O26+'Э4 (СЗ)'!O26</f>
        <v>0</v>
      </c>
      <c r="P21" s="38">
        <f>'Э1 (СЗ)'!P26+'Э2 (СЗ)'!P26+'Э3 (СЗ)'!P26+'Э4 (СЗ)'!P26</f>
        <v>-13322.032875000003</v>
      </c>
      <c r="Q21" s="38">
        <f>'Э1 (СЗ)'!Q26+'Э2 (СЗ)'!Q26+'Э3 (СЗ)'!Q26+'Э4 (СЗ)'!Q26</f>
        <v>0</v>
      </c>
      <c r="R21" s="38">
        <f>'Э1 (СЗ)'!R26+'Э2 (СЗ)'!R26+'Э3 (СЗ)'!R26+'Э4 (СЗ)'!R26</f>
        <v>-13721.693861250002</v>
      </c>
      <c r="S21" s="38">
        <f>'Э1 (СЗ)'!S26+'Э2 (СЗ)'!S26+'Э3 (СЗ)'!S26+'Э4 (СЗ)'!S26</f>
        <v>0</v>
      </c>
      <c r="T21" s="38">
        <f>'Э1 (СЗ)'!T26+'Э2 (СЗ)'!T26+'Э3 (СЗ)'!T26+'Э4 (СЗ)'!T26</f>
        <v>0</v>
      </c>
      <c r="U21" s="38">
        <f>'Э1 (СЗ)'!U26+'Э2 (СЗ)'!U26+'Э3 (СЗ)'!U26+'Э4 (СЗ)'!U26</f>
        <v>-14133.3446770875</v>
      </c>
      <c r="V21" s="38">
        <f>'Э1 (СЗ)'!V26+'Э2 (СЗ)'!V26+'Э3 (СЗ)'!V26+'Э4 (СЗ)'!V26</f>
        <v>0</v>
      </c>
      <c r="W21" s="38">
        <f>'Э1 (СЗ)'!W26+'Э2 (СЗ)'!W26+'Э3 (СЗ)'!W26+'Э4 (СЗ)'!W26</f>
        <v>0</v>
      </c>
      <c r="X21" s="38">
        <f>'Э1 (СЗ)'!X26+'Э2 (СЗ)'!X26+'Э3 (СЗ)'!X26+'Э4 (СЗ)'!X26</f>
        <v>0</v>
      </c>
      <c r="Y21" s="38">
        <f>'Э1 (СЗ)'!Y26+'Э2 (СЗ)'!Y26+'Э3 (СЗ)'!Y26+'Э4 (СЗ)'!Y26</f>
        <v>0</v>
      </c>
      <c r="Z21" s="38">
        <f>'Э1 (СЗ)'!Z26+'Э2 (СЗ)'!Z26+'Э3 (СЗ)'!Z26+'Э4 (СЗ)'!Z26</f>
        <v>0</v>
      </c>
    </row>
    <row r="22" spans="1:26" x14ac:dyDescent="0.2">
      <c r="A22" s="9" t="s">
        <v>25</v>
      </c>
      <c r="B22" s="4">
        <f t="shared" si="2"/>
        <v>-8074.034506927972</v>
      </c>
      <c r="C22" s="38">
        <f>'Э1 (СЗ)'!C27+'Э2 (СЗ)'!C27+'Э3 (СЗ)'!C27+'Э4 (СЗ)'!C27</f>
        <v>0</v>
      </c>
      <c r="D22" s="38">
        <f>'Э1 (СЗ)'!D27+'Э2 (СЗ)'!D27+'Э3 (СЗ)'!D27+'Э4 (СЗ)'!D27</f>
        <v>0</v>
      </c>
      <c r="E22" s="38">
        <f>'Э1 (СЗ)'!E27+'Э2 (СЗ)'!E27+'Э3 (СЗ)'!E27+'Э4 (СЗ)'!E27</f>
        <v>0</v>
      </c>
      <c r="F22" s="38">
        <f>'Э1 (СЗ)'!F27+'Э2 (СЗ)'!F27+'Э3 (СЗ)'!F27+'Э4 (СЗ)'!F27</f>
        <v>0</v>
      </c>
      <c r="G22" s="38">
        <f>'Э1 (СЗ)'!G27+'Э2 (СЗ)'!G27+'Э3 (СЗ)'!G27+'Э4 (СЗ)'!G27</f>
        <v>0</v>
      </c>
      <c r="H22" s="38">
        <f>'Э1 (СЗ)'!H27+'Э2 (СЗ)'!H27+'Э3 (СЗ)'!H27+'Э4 (СЗ)'!H27</f>
        <v>0</v>
      </c>
      <c r="I22" s="38">
        <f>'Э1 (СЗ)'!I27+'Э2 (СЗ)'!I27+'Э3 (СЗ)'!I27+'Э4 (СЗ)'!I27</f>
        <v>0</v>
      </c>
      <c r="J22" s="38">
        <f>'Э1 (СЗ)'!J27+'Э2 (СЗ)'!J27+'Э3 (СЗ)'!J27+'Э4 (СЗ)'!J27</f>
        <v>0</v>
      </c>
      <c r="K22" s="38">
        <f>'Э1 (СЗ)'!K27+'Э2 (СЗ)'!K27+'Э3 (СЗ)'!K27+'Э4 (СЗ)'!K27</f>
        <v>0</v>
      </c>
      <c r="L22" s="38">
        <f>'Э1 (СЗ)'!L27+'Э2 (СЗ)'!L27+'Э3 (СЗ)'!L27+'Э4 (СЗ)'!L27</f>
        <v>0</v>
      </c>
      <c r="M22" s="38">
        <f>'Э1 (СЗ)'!M27+'Э2 (СЗ)'!M27+'Э3 (СЗ)'!M27+'Э4 (СЗ)'!M27</f>
        <v>0</v>
      </c>
      <c r="N22" s="38">
        <f>'Э1 (СЗ)'!N27+'Э2 (СЗ)'!N27+'Э3 (СЗ)'!N27+'Э4 (СЗ)'!N27</f>
        <v>0</v>
      </c>
      <c r="O22" s="38">
        <f>'Э1 (СЗ)'!O27+'Э2 (СЗ)'!O27+'Э3 (СЗ)'!O27+'Э4 (СЗ)'!O27</f>
        <v>0</v>
      </c>
      <c r="P22" s="38">
        <f>'Э1 (СЗ)'!P27+'Э2 (СЗ)'!P27+'Э3 (СЗ)'!P27+'Э4 (СЗ)'!P27</f>
        <v>-2497.8811640625008</v>
      </c>
      <c r="Q22" s="38">
        <f>'Э1 (СЗ)'!Q27+'Э2 (СЗ)'!Q27+'Э3 (СЗ)'!Q27+'Э4 (СЗ)'!Q27</f>
        <v>0</v>
      </c>
      <c r="R22" s="38">
        <f>'Э1 (СЗ)'!R27+'Э2 (СЗ)'!R27+'Э3 (СЗ)'!R27+'Э4 (СЗ)'!R27</f>
        <v>-2572.8175989843762</v>
      </c>
      <c r="S22" s="38">
        <f>'Э1 (СЗ)'!S27+'Э2 (СЗ)'!S27+'Э3 (СЗ)'!S27+'Э4 (СЗ)'!S27</f>
        <v>0</v>
      </c>
      <c r="T22" s="38">
        <f>'Э1 (СЗ)'!T27+'Э2 (СЗ)'!T27+'Э3 (СЗ)'!T27+'Э4 (СЗ)'!T27</f>
        <v>0</v>
      </c>
      <c r="U22" s="38">
        <f>'Э1 (СЗ)'!U27+'Э2 (СЗ)'!U27+'Э3 (СЗ)'!U27+'Э4 (СЗ)'!U27</f>
        <v>-3003.335743881094</v>
      </c>
      <c r="V22" s="38">
        <f>'Э1 (СЗ)'!V27+'Э2 (СЗ)'!V27+'Э3 (СЗ)'!V27+'Э4 (СЗ)'!V27</f>
        <v>0</v>
      </c>
      <c r="W22" s="38">
        <f>'Э1 (СЗ)'!W27+'Э2 (СЗ)'!W27+'Э3 (СЗ)'!W27+'Э4 (СЗ)'!W27</f>
        <v>0</v>
      </c>
      <c r="X22" s="38">
        <f>'Э1 (СЗ)'!X27+'Э2 (СЗ)'!X27+'Э3 (СЗ)'!X27+'Э4 (СЗ)'!X27</f>
        <v>0</v>
      </c>
      <c r="Y22" s="38">
        <f>'Э1 (СЗ)'!Y27+'Э2 (СЗ)'!Y27+'Э3 (СЗ)'!Y27+'Э4 (СЗ)'!Y27</f>
        <v>0</v>
      </c>
      <c r="Z22" s="38">
        <f>'Э1 (СЗ)'!Z27+'Э2 (СЗ)'!Z27+'Э3 (СЗ)'!Z27+'Э4 (СЗ)'!Z27</f>
        <v>0</v>
      </c>
    </row>
    <row r="23" spans="1:26" x14ac:dyDescent="0.2">
      <c r="A23" s="9" t="s">
        <v>126</v>
      </c>
      <c r="B23" s="4">
        <f t="shared" si="2"/>
        <v>-15647.287137068251</v>
      </c>
      <c r="C23" s="38">
        <f>'Э1 (СЗ)'!C28+'Э2 (СЗ)'!C28+'Э3 (СЗ)'!C28+'Э4 (СЗ)'!C28</f>
        <v>0</v>
      </c>
      <c r="D23" s="38">
        <f>'Э1 (СЗ)'!D28+'Э2 (СЗ)'!D28+'Э3 (СЗ)'!D28+'Э4 (СЗ)'!D28</f>
        <v>0</v>
      </c>
      <c r="E23" s="38">
        <f>'Э1 (СЗ)'!E28+'Э2 (СЗ)'!E28+'Э3 (СЗ)'!E28+'Э4 (СЗ)'!E28</f>
        <v>0</v>
      </c>
      <c r="F23" s="38">
        <f>'Э1 (СЗ)'!F28+'Э2 (СЗ)'!F28+'Э3 (СЗ)'!F28+'Э4 (СЗ)'!F28</f>
        <v>0</v>
      </c>
      <c r="G23" s="38">
        <f>'Э1 (СЗ)'!G28+'Э2 (СЗ)'!G28+'Э3 (СЗ)'!G28+'Э4 (СЗ)'!G28</f>
        <v>0</v>
      </c>
      <c r="H23" s="38">
        <f>'Э1 (СЗ)'!H28+'Э2 (СЗ)'!H28+'Э3 (СЗ)'!H28+'Э4 (СЗ)'!H28</f>
        <v>0</v>
      </c>
      <c r="I23" s="38">
        <f>'Э1 (СЗ)'!I28+'Э2 (СЗ)'!I28+'Э3 (СЗ)'!I28+'Э4 (СЗ)'!I28</f>
        <v>0</v>
      </c>
      <c r="J23" s="38">
        <f>'Э1 (СЗ)'!J28+'Э2 (СЗ)'!J28+'Э3 (СЗ)'!J28+'Э4 (СЗ)'!J28</f>
        <v>-1012.4744985000001</v>
      </c>
      <c r="K23" s="38">
        <f>'Э1 (СЗ)'!K28+'Э2 (СЗ)'!K28+'Э3 (СЗ)'!K28+'Э4 (СЗ)'!K28</f>
        <v>-1012.4744985000001</v>
      </c>
      <c r="L23" s="38">
        <f>'Э1 (СЗ)'!L28+'Э2 (СЗ)'!L28+'Э3 (СЗ)'!L28+'Э4 (СЗ)'!L28</f>
        <v>-2055.3232319550002</v>
      </c>
      <c r="M23" s="38">
        <f>'Э1 (СЗ)'!M28+'Э2 (СЗ)'!M28+'Э3 (СЗ)'!M28+'Э4 (СЗ)'!M28</f>
        <v>-2055.3232319550002</v>
      </c>
      <c r="N23" s="38">
        <f>'Э1 (СЗ)'!N28+'Э2 (СЗ)'!N28+'Э3 (СЗ)'!N28+'Э4 (СЗ)'!N28</f>
        <v>-3129.4574274136503</v>
      </c>
      <c r="O23" s="38">
        <f>'Э1 (СЗ)'!O28+'Э2 (СЗ)'!O28+'Э3 (СЗ)'!O28+'Э4 (СЗ)'!O28</f>
        <v>-2116.9829289136496</v>
      </c>
      <c r="P23" s="38">
        <f>'Э1 (СЗ)'!P28+'Э2 (СЗ)'!P28+'Э3 (СЗ)'!P28+'Э4 (СЗ)'!P28</f>
        <v>-2116.9829289136496</v>
      </c>
      <c r="Q23" s="38">
        <f>'Э1 (СЗ)'!Q28+'Э2 (СЗ)'!Q28+'Э3 (СЗ)'!Q28+'Э4 (СЗ)'!Q28</f>
        <v>-1074.1341954586499</v>
      </c>
      <c r="R23" s="38">
        <f>'Э1 (СЗ)'!R28+'Э2 (СЗ)'!R28+'Э3 (СЗ)'!R28+'Э4 (СЗ)'!R28</f>
        <v>-1074.1341954586499</v>
      </c>
      <c r="S23" s="38">
        <f>'Э1 (СЗ)'!S28+'Э2 (СЗ)'!S28+'Э3 (СЗ)'!S28+'Э4 (СЗ)'!S28</f>
        <v>0</v>
      </c>
      <c r="T23" s="38">
        <f>'Э1 (СЗ)'!T28+'Э2 (СЗ)'!T28+'Э3 (СЗ)'!T28+'Э4 (СЗ)'!T28</f>
        <v>0</v>
      </c>
      <c r="U23" s="38">
        <f>'Э1 (СЗ)'!U28+'Э2 (СЗ)'!U28+'Э3 (СЗ)'!U28+'Э4 (СЗ)'!U28</f>
        <v>0</v>
      </c>
      <c r="V23" s="38">
        <f>'Э1 (СЗ)'!V28+'Э2 (СЗ)'!V28+'Э3 (СЗ)'!V28+'Э4 (СЗ)'!V28</f>
        <v>0</v>
      </c>
      <c r="W23" s="38"/>
      <c r="X23" s="38"/>
      <c r="Y23" s="38"/>
      <c r="Z23" s="38"/>
    </row>
    <row r="24" spans="1:26" x14ac:dyDescent="0.2">
      <c r="A24" s="9" t="s">
        <v>125</v>
      </c>
      <c r="B24" s="4">
        <f t="shared" si="2"/>
        <v>-15647.28713706825</v>
      </c>
      <c r="C24" s="38">
        <f>'Э1 (СЗ)'!C29+'Э2 (СЗ)'!C29+'Э3 (СЗ)'!C29+'Э4 (СЗ)'!C29</f>
        <v>0</v>
      </c>
      <c r="D24" s="38">
        <f>'Э1 (СЗ)'!D29+'Э2 (СЗ)'!D29+'Э3 (СЗ)'!D29+'Э4 (СЗ)'!D29</f>
        <v>0</v>
      </c>
      <c r="E24" s="38">
        <f>'Э1 (СЗ)'!E29+'Э2 (СЗ)'!E29+'Э3 (СЗ)'!E29+'Э4 (СЗ)'!E29</f>
        <v>0</v>
      </c>
      <c r="F24" s="38">
        <f>'Э1 (СЗ)'!F29+'Э2 (СЗ)'!F29+'Э3 (СЗ)'!F29+'Э4 (СЗ)'!F29</f>
        <v>0</v>
      </c>
      <c r="G24" s="38">
        <f>'Э1 (СЗ)'!G29+'Э2 (СЗ)'!G29+'Э3 (СЗ)'!G29+'Э4 (СЗ)'!G29</f>
        <v>0</v>
      </c>
      <c r="H24" s="38">
        <f>'Э1 (СЗ)'!H29+'Э2 (СЗ)'!H29+'Э3 (СЗ)'!H29+'Э4 (СЗ)'!H29</f>
        <v>0</v>
      </c>
      <c r="I24" s="38">
        <f>'Э1 (СЗ)'!I29+'Э2 (СЗ)'!I29+'Э3 (СЗ)'!I29+'Э4 (СЗ)'!I29</f>
        <v>0</v>
      </c>
      <c r="J24" s="38">
        <f>'Э1 (СЗ)'!J29+'Э2 (СЗ)'!J29+'Э3 (СЗ)'!J29+'Э4 (СЗ)'!J29</f>
        <v>-5062.3724925000006</v>
      </c>
      <c r="K24" s="38">
        <f>'Э1 (СЗ)'!K29+'Э2 (СЗ)'!K29+'Э3 (СЗ)'!K29+'Э4 (СЗ)'!K29</f>
        <v>0</v>
      </c>
      <c r="L24" s="38">
        <f>'Э1 (СЗ)'!L29+'Э2 (СЗ)'!L29+'Э3 (СЗ)'!L29+'Э4 (СЗ)'!L29</f>
        <v>-5214.243667275</v>
      </c>
      <c r="M24" s="38">
        <f>'Э1 (СЗ)'!M29+'Э2 (СЗ)'!M29+'Э3 (СЗ)'!M29+'Э4 (СЗ)'!M29</f>
        <v>0</v>
      </c>
      <c r="N24" s="38">
        <f>'Э1 (СЗ)'!N29+'Э2 (СЗ)'!N29+'Э3 (СЗ)'!N29+'Э4 (СЗ)'!N29</f>
        <v>-5370.67097729325</v>
      </c>
      <c r="O24" s="38">
        <f>'Э1 (СЗ)'!O29+'Э2 (СЗ)'!O29+'Э3 (СЗ)'!O29+'Э4 (СЗ)'!O29</f>
        <v>0</v>
      </c>
      <c r="P24" s="38">
        <f>'Э1 (СЗ)'!P29+'Э2 (СЗ)'!P29+'Э3 (СЗ)'!P29+'Э4 (СЗ)'!P29</f>
        <v>0</v>
      </c>
      <c r="Q24" s="38">
        <f>'Э1 (СЗ)'!Q29+'Э2 (СЗ)'!Q29+'Э3 (СЗ)'!Q29+'Э4 (СЗ)'!Q29</f>
        <v>0</v>
      </c>
      <c r="R24" s="38">
        <f>'Э1 (СЗ)'!R29+'Э2 (СЗ)'!R29+'Э3 (СЗ)'!R29+'Э4 (СЗ)'!R29</f>
        <v>0</v>
      </c>
      <c r="S24" s="38">
        <f>'Э1 (СЗ)'!S29+'Э2 (СЗ)'!S29+'Э3 (СЗ)'!S29+'Э4 (СЗ)'!S29</f>
        <v>0</v>
      </c>
      <c r="T24" s="38">
        <f>'Э1 (СЗ)'!T29+'Э2 (СЗ)'!T29+'Э3 (СЗ)'!T29+'Э4 (СЗ)'!T29</f>
        <v>0</v>
      </c>
      <c r="U24" s="38">
        <f>'Э1 (СЗ)'!U29+'Э2 (СЗ)'!U29+'Э3 (СЗ)'!U29+'Э4 (СЗ)'!U29</f>
        <v>0</v>
      </c>
      <c r="V24" s="38">
        <f>'Э1 (СЗ)'!V29+'Э2 (СЗ)'!V29+'Э3 (СЗ)'!V29+'Э4 (СЗ)'!V29</f>
        <v>0</v>
      </c>
      <c r="W24" s="38"/>
      <c r="X24" s="38"/>
      <c r="Y24" s="38"/>
      <c r="Z24" s="38"/>
    </row>
    <row r="25" spans="1:26" s="44" customFormat="1" x14ac:dyDescent="0.2">
      <c r="A25" s="43" t="s">
        <v>41</v>
      </c>
      <c r="B25" s="49"/>
      <c r="C25" s="49">
        <f t="shared" ref="C25:Z25" si="5">B39+C11+C17</f>
        <v>0</v>
      </c>
      <c r="D25" s="49">
        <f t="shared" si="5"/>
        <v>0</v>
      </c>
      <c r="E25" s="49">
        <f t="shared" si="5"/>
        <v>0</v>
      </c>
      <c r="F25" s="49">
        <f t="shared" si="5"/>
        <v>0</v>
      </c>
      <c r="G25" s="49">
        <f t="shared" si="5"/>
        <v>0</v>
      </c>
      <c r="H25" s="49">
        <f t="shared" si="5"/>
        <v>0</v>
      </c>
      <c r="I25" s="49">
        <f t="shared" si="5"/>
        <v>0</v>
      </c>
      <c r="J25" s="49">
        <f t="shared" si="5"/>
        <v>-17113.186541387666</v>
      </c>
      <c r="K25" s="49">
        <f t="shared" si="5"/>
        <v>-11593.701105882079</v>
      </c>
      <c r="L25" s="49">
        <f t="shared" si="5"/>
        <v>-31433.042204779398</v>
      </c>
      <c r="M25" s="49">
        <f t="shared" si="5"/>
        <v>-25194.468960054393</v>
      </c>
      <c r="N25" s="49">
        <f t="shared" si="5"/>
        <v>-47869.19975659257</v>
      </c>
      <c r="O25" s="49">
        <f t="shared" si="5"/>
        <v>61199.412438330299</v>
      </c>
      <c r="P25" s="49">
        <f t="shared" si="5"/>
        <v>55490.972945771442</v>
      </c>
      <c r="Q25" s="49">
        <f t="shared" si="5"/>
        <v>179270.0415290948</v>
      </c>
      <c r="R25" s="49">
        <f t="shared" si="5"/>
        <v>174529.80871641063</v>
      </c>
      <c r="S25" s="49">
        <f t="shared" si="5"/>
        <v>196142.17276631857</v>
      </c>
      <c r="T25" s="49">
        <f t="shared" si="5"/>
        <v>207577.09583320603</v>
      </c>
      <c r="U25" s="49">
        <f t="shared" si="5"/>
        <v>86661.371501402333</v>
      </c>
      <c r="V25" s="49">
        <f t="shared" si="5"/>
        <v>105355.02270120647</v>
      </c>
      <c r="W25" s="49">
        <f t="shared" si="5"/>
        <v>0</v>
      </c>
      <c r="X25" s="49">
        <f t="shared" si="5"/>
        <v>0</v>
      </c>
      <c r="Y25" s="49">
        <f t="shared" si="5"/>
        <v>0</v>
      </c>
      <c r="Z25" s="49">
        <f t="shared" si="5"/>
        <v>0</v>
      </c>
    </row>
    <row r="26" spans="1:26" x14ac:dyDescent="0.2">
      <c r="A26" s="9" t="s">
        <v>61</v>
      </c>
      <c r="B26" s="4">
        <f>SUM(C26:Z26)</f>
        <v>-1453933.7491622919</v>
      </c>
      <c r="C26" s="38">
        <f>'Э1 (СЗ)'!C31+'Э2 (СЗ)'!C31+'Э3 (СЗ)'!C31+'Э4 (СЗ)'!C31</f>
        <v>0</v>
      </c>
      <c r="D26" s="38">
        <f>'Э1 (СЗ)'!D31+'Э2 (СЗ)'!D31+'Э3 (СЗ)'!D31+'Э4 (СЗ)'!D31</f>
        <v>0</v>
      </c>
      <c r="E26" s="38">
        <f>'Э1 (СЗ)'!E31+'Э2 (СЗ)'!E31+'Э3 (СЗ)'!E31+'Э4 (СЗ)'!E31</f>
        <v>0</v>
      </c>
      <c r="F26" s="38">
        <f>'Э1 (СЗ)'!F31+'Э2 (СЗ)'!F31+'Э3 (СЗ)'!F31+'Э4 (СЗ)'!F31</f>
        <v>0</v>
      </c>
      <c r="G26" s="38">
        <f>'Э1 (СЗ)'!G31+'Э2 (СЗ)'!G31+'Э3 (СЗ)'!G31+'Э4 (СЗ)'!G31</f>
        <v>0</v>
      </c>
      <c r="H26" s="38">
        <f>'Э1 (СЗ)'!H31+'Э2 (СЗ)'!H31+'Э3 (СЗ)'!H31+'Э4 (СЗ)'!H31</f>
        <v>0</v>
      </c>
      <c r="I26" s="38">
        <f>'Э1 (СЗ)'!I31+'Э2 (СЗ)'!I31+'Э3 (СЗ)'!I31+'Э4 (СЗ)'!I31</f>
        <v>0</v>
      </c>
      <c r="J26" s="38">
        <f>'Э1 (СЗ)'!J31+'Э2 (СЗ)'!J31+'Э3 (СЗ)'!J31+'Э4 (СЗ)'!J31</f>
        <v>-92664.147281705838</v>
      </c>
      <c r="K26" s="38">
        <f>'Э1 (СЗ)'!K31+'Э2 (СЗ)'!K31+'Э3 (СЗ)'!K31+'Э4 (СЗ)'!K31</f>
        <v>-94749.090595544229</v>
      </c>
      <c r="L26" s="38">
        <f>'Э1 (СЗ)'!L31+'Э2 (СЗ)'!L31+'Э3 (СЗ)'!L31+'Э4 (СЗ)'!L31</f>
        <v>-189545.09241564979</v>
      </c>
      <c r="M26" s="38">
        <f>'Э1 (СЗ)'!M31+'Э2 (СЗ)'!M31+'Э3 (СЗ)'!M31+'Э4 (СЗ)'!M31</f>
        <v>-193809.85699500196</v>
      </c>
      <c r="N26" s="38">
        <f>'Э1 (СЗ)'!N31+'Э2 (СЗ)'!N31+'Э3 (СЗ)'!N31+'Э4 (СЗ)'!N31</f>
        <v>-290834.72605909535</v>
      </c>
      <c r="O26" s="38">
        <f>'Э1 (СЗ)'!O31+'Э2 (СЗ)'!O31+'Э3 (СЗ)'!O31+'Э4 (СЗ)'!O31</f>
        <v>-193809.85699500196</v>
      </c>
      <c r="P26" s="38">
        <f>'Э1 (СЗ)'!P31+'Э2 (СЗ)'!P31+'Э3 (СЗ)'!P31+'Э4 (СЗ)'!P31</f>
        <v>-198170.57877738948</v>
      </c>
      <c r="Q26" s="38">
        <f>'Э1 (СЗ)'!Q31+'Э2 (СЗ)'!Q31+'Э3 (СЗ)'!Q31+'Э4 (СЗ)'!Q31</f>
        <v>-99060.766399457716</v>
      </c>
      <c r="R26" s="38">
        <f>'Э1 (СЗ)'!R31+'Э2 (СЗ)'!R31+'Э3 (СЗ)'!R31+'Э4 (СЗ)'!R31</f>
        <v>-101289.63364344552</v>
      </c>
      <c r="S26" s="38">
        <f>'Э1 (СЗ)'!S31+'Э2 (СЗ)'!S31+'Э3 (СЗ)'!S31+'Э4 (СЗ)'!S31</f>
        <v>0</v>
      </c>
      <c r="T26" s="38">
        <f>'Э1 (СЗ)'!T31+'Э2 (СЗ)'!T31+'Э3 (СЗ)'!T31+'Э4 (СЗ)'!T31</f>
        <v>0</v>
      </c>
      <c r="U26" s="38">
        <f>'Э1 (СЗ)'!U31+'Э2 (СЗ)'!U31+'Э3 (СЗ)'!U31+'Э4 (СЗ)'!U31</f>
        <v>0</v>
      </c>
      <c r="V26" s="38">
        <f>'Э1 (СЗ)'!V31+'Э2 (СЗ)'!V31+'Э3 (СЗ)'!V31+'Э4 (СЗ)'!V31</f>
        <v>0</v>
      </c>
      <c r="W26" s="38">
        <f>'Э1 (СЗ)'!W31+'Э2 (СЗ)'!W31+'Э3 (СЗ)'!W31+'Э4 (СЗ)'!W31</f>
        <v>0</v>
      </c>
      <c r="X26" s="38">
        <f>'Э1 (СЗ)'!X31+'Э2 (СЗ)'!X31+'Э3 (СЗ)'!X31+'Э4 (СЗ)'!X31</f>
        <v>0</v>
      </c>
      <c r="Y26" s="38">
        <f>'Э1 (СЗ)'!Y31+'Э2 (СЗ)'!Y31+'Э3 (СЗ)'!Y31+'Э4 (СЗ)'!Y31</f>
        <v>0</v>
      </c>
      <c r="Z26" s="38">
        <f>'Э1 (СЗ)'!Z31+'Э2 (СЗ)'!Z31+'Э3 (СЗ)'!Z31+'Э4 (СЗ)'!Z31</f>
        <v>0</v>
      </c>
    </row>
    <row r="27" spans="1:26" x14ac:dyDescent="0.2">
      <c r="A27" s="9" t="s">
        <v>26</v>
      </c>
      <c r="B27" s="4">
        <f>SUM(C27:Z27)</f>
        <v>1453933.7491622916</v>
      </c>
      <c r="C27" s="38">
        <f>'Э1 (СЗ)'!C32+'Э2 (СЗ)'!C32+'Э3 (СЗ)'!C32+'Э4 (СЗ)'!C32</f>
        <v>0</v>
      </c>
      <c r="D27" s="38">
        <f>'Э1 (СЗ)'!D32+'Э2 (СЗ)'!D32+'Э3 (СЗ)'!D32+'Э4 (СЗ)'!D32</f>
        <v>0</v>
      </c>
      <c r="E27" s="38">
        <f>'Э1 (СЗ)'!E32+'Э2 (СЗ)'!E32+'Э3 (СЗ)'!E32+'Э4 (СЗ)'!E32</f>
        <v>0</v>
      </c>
      <c r="F27" s="38">
        <f>'Э1 (СЗ)'!F32+'Э2 (СЗ)'!F32+'Э3 (СЗ)'!F32+'Э4 (СЗ)'!F32</f>
        <v>0</v>
      </c>
      <c r="G27" s="38">
        <f>'Э1 (СЗ)'!G32+'Э2 (СЗ)'!G32+'Э3 (СЗ)'!G32+'Э4 (СЗ)'!G32</f>
        <v>0</v>
      </c>
      <c r="H27" s="38">
        <f>'Э1 (СЗ)'!H32+'Э2 (СЗ)'!H32+'Э3 (СЗ)'!H32+'Э4 (СЗ)'!H32</f>
        <v>0</v>
      </c>
      <c r="I27" s="38">
        <f>'Э1 (СЗ)'!I32+'Э2 (СЗ)'!I32+'Э3 (СЗ)'!I32+'Э4 (СЗ)'!I32</f>
        <v>0</v>
      </c>
      <c r="J27" s="38">
        <f>'Э1 (СЗ)'!J32+'Э2 (СЗ)'!J32+'Э3 (СЗ)'!J32+'Э4 (СЗ)'!J32</f>
        <v>0</v>
      </c>
      <c r="K27" s="38">
        <f>'Э1 (СЗ)'!K32+'Э2 (СЗ)'!K32+'Э3 (СЗ)'!K32+'Э4 (СЗ)'!K32</f>
        <v>0</v>
      </c>
      <c r="L27" s="38">
        <f>'Э1 (СЗ)'!L32+'Э2 (СЗ)'!L32+'Э3 (СЗ)'!L32+'Э4 (СЗ)'!L32</f>
        <v>0</v>
      </c>
      <c r="M27" s="38">
        <f>'Э1 (СЗ)'!M32+'Э2 (СЗ)'!M32+'Э3 (СЗ)'!M32+'Э4 (СЗ)'!M32</f>
        <v>0</v>
      </c>
      <c r="N27" s="38">
        <f>'Э1 (СЗ)'!N32+'Э2 (СЗ)'!N32+'Э3 (СЗ)'!N32+'Э4 (СЗ)'!N32</f>
        <v>0</v>
      </c>
      <c r="O27" s="38">
        <f>'Э1 (СЗ)'!O32+'Э2 (СЗ)'!O32+'Э3 (СЗ)'!O32+'Э4 (СЗ)'!O32</f>
        <v>484644.58305409725</v>
      </c>
      <c r="P27" s="38">
        <f>'Э1 (СЗ)'!P32+'Э2 (СЗ)'!P32+'Э3 (СЗ)'!P32+'Э4 (СЗ)'!P32</f>
        <v>0</v>
      </c>
      <c r="Q27" s="38">
        <f>'Э1 (СЗ)'!Q32+'Э2 (СЗ)'!Q32+'Э3 (СЗ)'!Q32+'Э4 (СЗ)'!Q32</f>
        <v>484644.58305409725</v>
      </c>
      <c r="R27" s="38">
        <f>'Э1 (СЗ)'!R32+'Э2 (СЗ)'!R32+'Э3 (СЗ)'!R32+'Э4 (СЗ)'!R32</f>
        <v>0</v>
      </c>
      <c r="S27" s="38">
        <f>'Э1 (СЗ)'!S32+'Э2 (СЗ)'!S32+'Э3 (СЗ)'!S32+'Э4 (СЗ)'!S32</f>
        <v>484644.58305409725</v>
      </c>
      <c r="T27" s="38">
        <f>'Э1 (СЗ)'!T32+'Э2 (СЗ)'!T32+'Э3 (СЗ)'!T32+'Э4 (СЗ)'!T32</f>
        <v>0</v>
      </c>
      <c r="U27" s="38">
        <f>'Э1 (СЗ)'!U32+'Э2 (СЗ)'!U32+'Э3 (СЗ)'!U32+'Э4 (СЗ)'!U32</f>
        <v>0</v>
      </c>
      <c r="V27" s="38">
        <f>'Э1 (СЗ)'!V32+'Э2 (СЗ)'!V32+'Э3 (СЗ)'!V32+'Э4 (СЗ)'!V32</f>
        <v>0</v>
      </c>
      <c r="W27" s="38">
        <f>'Э1 (СЗ)'!W32+'Э2 (СЗ)'!W32+'Э3 (СЗ)'!W32+'Э4 (СЗ)'!W32</f>
        <v>0</v>
      </c>
      <c r="X27" s="38">
        <f>'Э1 (СЗ)'!X32+'Э2 (СЗ)'!X32+'Э3 (СЗ)'!X32+'Э4 (СЗ)'!X32</f>
        <v>0</v>
      </c>
      <c r="Y27" s="38">
        <f>'Э1 (СЗ)'!Y32+'Э2 (СЗ)'!Y32+'Э3 (СЗ)'!Y32+'Э4 (СЗ)'!Y32</f>
        <v>0</v>
      </c>
      <c r="Z27" s="38">
        <f>'Э1 (СЗ)'!Z32+'Э2 (СЗ)'!Z32+'Э3 (СЗ)'!Z32+'Э4 (СЗ)'!Z32</f>
        <v>0</v>
      </c>
    </row>
    <row r="28" spans="1:26" s="28" customFormat="1" x14ac:dyDescent="0.2">
      <c r="A28" s="29" t="s">
        <v>62</v>
      </c>
      <c r="B28" s="65"/>
      <c r="C28" s="42">
        <f t="shared" ref="C28" si="6">B28+C26+C27</f>
        <v>0</v>
      </c>
      <c r="D28" s="42">
        <f t="shared" ref="D28" si="7">C28+D26+D27</f>
        <v>0</v>
      </c>
      <c r="E28" s="42">
        <f t="shared" ref="E28" si="8">D28+E26+E27</f>
        <v>0</v>
      </c>
      <c r="F28" s="42">
        <f t="shared" ref="F28" si="9">E28+F26+F27</f>
        <v>0</v>
      </c>
      <c r="G28" s="42">
        <f t="shared" ref="G28" si="10">F28+G26+G27</f>
        <v>0</v>
      </c>
      <c r="H28" s="42">
        <f t="shared" ref="H28" si="11">G28+H26+H27</f>
        <v>0</v>
      </c>
      <c r="I28" s="42">
        <f t="shared" ref="I28:V28" si="12">H28+I26+I27</f>
        <v>0</v>
      </c>
      <c r="J28" s="42">
        <f t="shared" si="12"/>
        <v>-92664.147281705838</v>
      </c>
      <c r="K28" s="42">
        <f t="shared" si="12"/>
        <v>-187413.23787725007</v>
      </c>
      <c r="L28" s="42">
        <f t="shared" si="12"/>
        <v>-376958.33029289986</v>
      </c>
      <c r="M28" s="42">
        <f t="shared" si="12"/>
        <v>-570768.18728790176</v>
      </c>
      <c r="N28" s="42">
        <f t="shared" si="12"/>
        <v>-861602.91334699711</v>
      </c>
      <c r="O28" s="42">
        <f t="shared" si="12"/>
        <v>-570768.18728790188</v>
      </c>
      <c r="P28" s="42">
        <f t="shared" si="12"/>
        <v>-768938.76606529136</v>
      </c>
      <c r="Q28" s="42">
        <f t="shared" si="12"/>
        <v>-383354.94941065181</v>
      </c>
      <c r="R28" s="42">
        <f t="shared" si="12"/>
        <v>-484644.58305409731</v>
      </c>
      <c r="S28" s="42">
        <f t="shared" si="12"/>
        <v>0</v>
      </c>
      <c r="T28" s="42">
        <f t="shared" si="12"/>
        <v>0</v>
      </c>
      <c r="U28" s="42">
        <f t="shared" si="12"/>
        <v>0</v>
      </c>
      <c r="V28" s="42">
        <f t="shared" si="12"/>
        <v>0</v>
      </c>
      <c r="W28" s="42"/>
      <c r="X28" s="42"/>
      <c r="Y28" s="42"/>
      <c r="Z28" s="42"/>
    </row>
    <row r="29" spans="1:26" s="44" customFormat="1" x14ac:dyDescent="0.2">
      <c r="A29" s="43" t="s">
        <v>27</v>
      </c>
      <c r="B29" s="49"/>
      <c r="C29" s="49">
        <f t="shared" ref="C29:Z29" si="13">C25+C26+C27</f>
        <v>0</v>
      </c>
      <c r="D29" s="49">
        <f t="shared" si="13"/>
        <v>0</v>
      </c>
      <c r="E29" s="49">
        <f t="shared" si="13"/>
        <v>0</v>
      </c>
      <c r="F29" s="49">
        <f t="shared" si="13"/>
        <v>0</v>
      </c>
      <c r="G29" s="49">
        <f t="shared" si="13"/>
        <v>0</v>
      </c>
      <c r="H29" s="49">
        <f t="shared" si="13"/>
        <v>0</v>
      </c>
      <c r="I29" s="49">
        <f t="shared" si="13"/>
        <v>0</v>
      </c>
      <c r="J29" s="49">
        <f t="shared" si="13"/>
        <v>-109777.3338230935</v>
      </c>
      <c r="K29" s="49">
        <f t="shared" si="13"/>
        <v>-106342.79170142631</v>
      </c>
      <c r="L29" s="49">
        <f t="shared" si="13"/>
        <v>-220978.13462042919</v>
      </c>
      <c r="M29" s="49">
        <f t="shared" si="13"/>
        <v>-219004.32595505635</v>
      </c>
      <c r="N29" s="49">
        <f t="shared" si="13"/>
        <v>-338703.92581568792</v>
      </c>
      <c r="O29" s="49">
        <f t="shared" si="13"/>
        <v>352034.13849742559</v>
      </c>
      <c r="P29" s="49">
        <f t="shared" si="13"/>
        <v>-142679.60583161804</v>
      </c>
      <c r="Q29" s="49">
        <f t="shared" si="13"/>
        <v>564853.85818373435</v>
      </c>
      <c r="R29" s="49">
        <f t="shared" si="13"/>
        <v>73240.17507296511</v>
      </c>
      <c r="S29" s="49">
        <f t="shared" si="13"/>
        <v>680786.7558204158</v>
      </c>
      <c r="T29" s="49">
        <f t="shared" si="13"/>
        <v>207577.09583320603</v>
      </c>
      <c r="U29" s="49">
        <f t="shared" si="13"/>
        <v>86661.371501402333</v>
      </c>
      <c r="V29" s="49">
        <f t="shared" si="13"/>
        <v>105355.02270120647</v>
      </c>
      <c r="W29" s="49">
        <f t="shared" si="13"/>
        <v>0</v>
      </c>
      <c r="X29" s="49">
        <f t="shared" si="13"/>
        <v>0</v>
      </c>
      <c r="Y29" s="49">
        <f t="shared" si="13"/>
        <v>0</v>
      </c>
      <c r="Z29" s="49">
        <f t="shared" si="13"/>
        <v>0</v>
      </c>
    </row>
    <row r="30" spans="1:26" x14ac:dyDescent="0.2">
      <c r="A30" s="9" t="s">
        <v>42</v>
      </c>
      <c r="B30" s="4">
        <f>SUM(C30:Z30)</f>
        <v>1684197.4528092414</v>
      </c>
      <c r="C30" s="38">
        <f>'Э1 (СЗ)'!C35+'Э2 (СЗ)'!C35+'Э3 (СЗ)'!C35+'Э4 (СЗ)'!C35</f>
        <v>0</v>
      </c>
      <c r="D30" s="38">
        <f>'Э1 (СЗ)'!D35+'Э2 (СЗ)'!D35+'Э3 (СЗ)'!D35+'Э4 (СЗ)'!D35</f>
        <v>0</v>
      </c>
      <c r="E30" s="38">
        <f>'Э1 (СЗ)'!E35+'Э2 (СЗ)'!E35+'Э3 (СЗ)'!E35+'Э4 (СЗ)'!E35</f>
        <v>0</v>
      </c>
      <c r="F30" s="38">
        <f>'Э1 (СЗ)'!F35+'Э2 (СЗ)'!F35+'Э3 (СЗ)'!F35+'Э4 (СЗ)'!F35</f>
        <v>0</v>
      </c>
      <c r="G30" s="38">
        <f>'Э1 (СЗ)'!G35+'Э2 (СЗ)'!G35+'Э3 (СЗ)'!G35+'Э4 (СЗ)'!G35</f>
        <v>0</v>
      </c>
      <c r="H30" s="38">
        <f>'Э1 (СЗ)'!H35+'Э2 (СЗ)'!H35+'Э3 (СЗ)'!H35+'Э4 (СЗ)'!H35</f>
        <v>0</v>
      </c>
      <c r="I30" s="38">
        <f>'Э1 (СЗ)'!I35+'Э2 (СЗ)'!I35+'Э3 (СЗ)'!I35+'Э4 (СЗ)'!I35</f>
        <v>0</v>
      </c>
      <c r="J30" s="38">
        <f>'Э1 (СЗ)'!J35+'Э2 (СЗ)'!J35+'Э3 (СЗ)'!J35+'Э4 (СЗ)'!J35</f>
        <v>109777.3338230935</v>
      </c>
      <c r="K30" s="38">
        <f>'Э1 (СЗ)'!K35+'Э2 (СЗ)'!K35+'Э3 (СЗ)'!K35+'Э4 (СЗ)'!K35</f>
        <v>106342.79170142629</v>
      </c>
      <c r="L30" s="38">
        <f>'Э1 (СЗ)'!L35+'Э2 (СЗ)'!L35+'Э3 (СЗ)'!L35+'Э4 (СЗ)'!L35</f>
        <v>220978.13462042913</v>
      </c>
      <c r="M30" s="38">
        <f>'Э1 (СЗ)'!M35+'Э2 (СЗ)'!M35+'Э3 (СЗ)'!M35+'Э4 (СЗ)'!M35</f>
        <v>219004.32595505632</v>
      </c>
      <c r="N30" s="38">
        <f>'Э1 (СЗ)'!N35+'Э2 (СЗ)'!N35+'Э3 (СЗ)'!N35+'Э4 (СЗ)'!N35</f>
        <v>338703.92581568798</v>
      </c>
      <c r="O30" s="38">
        <f>'Э1 (СЗ)'!O35+'Э2 (СЗ)'!O35+'Э3 (СЗ)'!O35+'Э4 (СЗ)'!O35</f>
        <v>225813.84500805615</v>
      </c>
      <c r="P30" s="38">
        <f>'Э1 (СЗ)'!P35+'Э2 (СЗ)'!P35+'Э3 (СЗ)'!P35+'Э4 (СЗ)'!P35</f>
        <v>229123.78235646777</v>
      </c>
      <c r="Q30" s="38">
        <f>'Э1 (СЗ)'!Q35+'Э2 (СЗ)'!Q35+'Э3 (СЗ)'!Q35+'Э4 (СЗ)'!Q35</f>
        <v>116368.88679710508</v>
      </c>
      <c r="R30" s="38">
        <f>'Э1 (СЗ)'!R35+'Э2 (СЗ)'!R35+'Э3 (СЗ)'!R35+'Э4 (СЗ)'!R35</f>
        <v>118084.42673191924</v>
      </c>
      <c r="S30" s="38">
        <f>'Э1 (СЗ)'!S35+'Э2 (СЗ)'!S35+'Э3 (СЗ)'!S35+'Э4 (СЗ)'!S35</f>
        <v>0</v>
      </c>
      <c r="T30" s="38">
        <f>'Э1 (СЗ)'!T35+'Э2 (СЗ)'!T35+'Э3 (СЗ)'!T35+'Э4 (СЗ)'!T35</f>
        <v>0</v>
      </c>
      <c r="U30" s="38">
        <f>'Э1 (СЗ)'!U35+'Э2 (СЗ)'!U35+'Э3 (СЗ)'!U35+'Э4 (СЗ)'!U35</f>
        <v>0</v>
      </c>
      <c r="V30" s="38">
        <f>'Э1 (СЗ)'!V35+'Э2 (СЗ)'!V35+'Э3 (СЗ)'!V35+'Э4 (СЗ)'!V35</f>
        <v>0</v>
      </c>
      <c r="W30" s="38">
        <f>'Э1 (СЗ)'!W35+'Э2 (СЗ)'!W35+'Э3 (СЗ)'!W35+'Э4 (СЗ)'!W35</f>
        <v>0</v>
      </c>
      <c r="X30" s="38">
        <f>'Э1 (СЗ)'!X35+'Э2 (СЗ)'!X35+'Э3 (СЗ)'!X35+'Э4 (СЗ)'!X35</f>
        <v>0</v>
      </c>
      <c r="Y30" s="38">
        <f>'Э1 (СЗ)'!Y35+'Э2 (СЗ)'!Y35+'Э3 (СЗ)'!Y35+'Э4 (СЗ)'!Y35</f>
        <v>0</v>
      </c>
      <c r="Z30" s="38">
        <f>'Э1 (СЗ)'!Z35+'Э2 (СЗ)'!Z35+'Э3 (СЗ)'!Z35+'Э4 (СЗ)'!Z35</f>
        <v>0</v>
      </c>
    </row>
    <row r="31" spans="1:26" x14ac:dyDescent="0.2">
      <c r="A31" s="9" t="s">
        <v>43</v>
      </c>
      <c r="B31" s="4">
        <f>SUM(C31:Z31)</f>
        <v>-1684197.4528092416</v>
      </c>
      <c r="C31" s="38">
        <f>'Э1 (СЗ)'!C36+'Э2 (СЗ)'!C36+'Э3 (СЗ)'!C36+'Э4 (СЗ)'!C36</f>
        <v>0</v>
      </c>
      <c r="D31" s="38">
        <f>'Э1 (СЗ)'!D36+'Э2 (СЗ)'!D36+'Э3 (СЗ)'!D36+'Э4 (СЗ)'!D36</f>
        <v>0</v>
      </c>
      <c r="E31" s="38">
        <f>'Э1 (СЗ)'!E36+'Э2 (СЗ)'!E36+'Э3 (СЗ)'!E36+'Э4 (СЗ)'!E36</f>
        <v>0</v>
      </c>
      <c r="F31" s="38">
        <f>'Э1 (СЗ)'!F36+'Э2 (СЗ)'!F36+'Э3 (СЗ)'!F36+'Э4 (СЗ)'!F36</f>
        <v>0</v>
      </c>
      <c r="G31" s="38">
        <f>'Э1 (СЗ)'!G36+'Э2 (СЗ)'!G36+'Э3 (СЗ)'!G36+'Э4 (СЗ)'!G36</f>
        <v>0</v>
      </c>
      <c r="H31" s="38">
        <f>'Э1 (СЗ)'!H36+'Э2 (СЗ)'!H36+'Э3 (СЗ)'!H36+'Э4 (СЗ)'!H36</f>
        <v>0</v>
      </c>
      <c r="I31" s="38">
        <f>'Э1 (СЗ)'!I36+'Э2 (СЗ)'!I36+'Э3 (СЗ)'!I36+'Э4 (СЗ)'!I36</f>
        <v>0</v>
      </c>
      <c r="J31" s="38">
        <f>'Э1 (СЗ)'!J36+'Э2 (СЗ)'!J36+'Э3 (СЗ)'!J36+'Э4 (СЗ)'!J36</f>
        <v>0</v>
      </c>
      <c r="K31" s="38">
        <f>'Э1 (СЗ)'!K36+'Э2 (СЗ)'!K36+'Э3 (СЗ)'!K36+'Э4 (СЗ)'!K36</f>
        <v>0</v>
      </c>
      <c r="L31" s="38">
        <f>'Э1 (СЗ)'!L36+'Э2 (СЗ)'!L36+'Э3 (СЗ)'!L36+'Э4 (СЗ)'!L36</f>
        <v>0</v>
      </c>
      <c r="M31" s="38">
        <f>'Э1 (СЗ)'!M36+'Э2 (СЗ)'!M36+'Э3 (СЗ)'!M36+'Э4 (СЗ)'!M36</f>
        <v>0</v>
      </c>
      <c r="N31" s="38">
        <f>'Э1 (СЗ)'!N36+'Э2 (СЗ)'!N36+'Э3 (СЗ)'!N36+'Э4 (СЗ)'!N36</f>
        <v>0</v>
      </c>
      <c r="O31" s="38">
        <f>'Э1 (СЗ)'!O36+'Э2 (СЗ)'!O36+'Э3 (СЗ)'!O36+'Э4 (СЗ)'!O36</f>
        <v>-544298.21687708027</v>
      </c>
      <c r="P31" s="38">
        <f>'Э1 (СЗ)'!P36+'Э2 (СЗ)'!P36+'Э3 (СЗ)'!P36+'Э4 (СЗ)'!P36</f>
        <v>0</v>
      </c>
      <c r="Q31" s="38">
        <f>'Э1 (СЗ)'!Q36+'Э2 (СЗ)'!Q36+'Э3 (СЗ)'!Q36+'Э4 (СЗ)'!Q36</f>
        <v>-561229.83475760859</v>
      </c>
      <c r="R31" s="38">
        <f>'Э1 (СЗ)'!R36+'Э2 (СЗ)'!R36+'Э3 (СЗ)'!R36+'Э4 (СЗ)'!R36</f>
        <v>0</v>
      </c>
      <c r="S31" s="38">
        <f>'Э1 (СЗ)'!S36+'Э2 (СЗ)'!S36+'Э3 (СЗ)'!S36+'Э4 (СЗ)'!S36</f>
        <v>-576988.70389804489</v>
      </c>
      <c r="T31" s="38">
        <f>'Э1 (СЗ)'!T36+'Э2 (СЗ)'!T36+'Э3 (СЗ)'!T36+'Э4 (СЗ)'!T36</f>
        <v>-1680.6972765078535</v>
      </c>
      <c r="U31" s="38">
        <f>'Э1 (СЗ)'!U36+'Э2 (СЗ)'!U36+'Э3 (СЗ)'!U36+'Э4 (СЗ)'!U36</f>
        <v>0</v>
      </c>
      <c r="V31" s="38">
        <f>'Э1 (СЗ)'!V36+'Э2 (СЗ)'!V36+'Э3 (СЗ)'!V36+'Э4 (СЗ)'!V36</f>
        <v>0</v>
      </c>
      <c r="W31" s="38">
        <f>'Э1 (СЗ)'!W36+'Э2 (СЗ)'!W36+'Э3 (СЗ)'!W36+'Э4 (СЗ)'!W36</f>
        <v>0</v>
      </c>
      <c r="X31" s="38">
        <f>'Э1 (СЗ)'!X36+'Э2 (СЗ)'!X36+'Э3 (СЗ)'!X36+'Э4 (СЗ)'!X36</f>
        <v>0</v>
      </c>
      <c r="Y31" s="38">
        <f>'Э1 (СЗ)'!Y36+'Э2 (СЗ)'!Y36+'Э3 (СЗ)'!Y36+'Э4 (СЗ)'!Y36</f>
        <v>0</v>
      </c>
      <c r="Z31" s="38">
        <f>'Э1 (СЗ)'!Z36+'Э2 (СЗ)'!Z36+'Э3 (СЗ)'!Z36+'Э4 (СЗ)'!Z36</f>
        <v>0</v>
      </c>
    </row>
    <row r="32" spans="1:26" s="28" customFormat="1" x14ac:dyDescent="0.2">
      <c r="A32" s="29" t="s">
        <v>4</v>
      </c>
      <c r="B32" s="65"/>
      <c r="C32" s="42">
        <f>'Э1 (СЗ)'!C37+'Э2 (СЗ)'!C37+'Э3 (СЗ)'!C37+'Э4 (СЗ)'!C37</f>
        <v>0</v>
      </c>
      <c r="D32" s="42">
        <f>'Э1 (СЗ)'!D37+'Э2 (СЗ)'!D37+'Э3 (СЗ)'!D37+'Э4 (СЗ)'!D37</f>
        <v>0</v>
      </c>
      <c r="E32" s="42">
        <f>'Э1 (СЗ)'!E37+'Э2 (СЗ)'!E37+'Э3 (СЗ)'!E37+'Э4 (СЗ)'!E37</f>
        <v>0</v>
      </c>
      <c r="F32" s="42">
        <f>'Э1 (СЗ)'!F37+'Э2 (СЗ)'!F37+'Э3 (СЗ)'!F37+'Э4 (СЗ)'!F37</f>
        <v>0</v>
      </c>
      <c r="G32" s="42">
        <f>'Э1 (СЗ)'!G37+'Э2 (СЗ)'!G37+'Э3 (СЗ)'!G37+'Э4 (СЗ)'!G37</f>
        <v>0</v>
      </c>
      <c r="H32" s="42">
        <f>'Э1 (СЗ)'!H37+'Э2 (СЗ)'!H37+'Э3 (СЗ)'!H37+'Э4 (СЗ)'!H37</f>
        <v>0</v>
      </c>
      <c r="I32" s="42">
        <f>'Э1 (СЗ)'!I37+'Э2 (СЗ)'!I37+'Э3 (СЗ)'!I37+'Э4 (СЗ)'!I37</f>
        <v>0</v>
      </c>
      <c r="J32" s="42">
        <f>'Э1 (СЗ)'!J37+'Э2 (СЗ)'!J37+'Э3 (СЗ)'!J37+'Э4 (СЗ)'!J37</f>
        <v>109777.3338230935</v>
      </c>
      <c r="K32" s="42">
        <f>'Э1 (СЗ)'!K37+'Э2 (СЗ)'!K37+'Э3 (СЗ)'!K37+'Э4 (СЗ)'!K37</f>
        <v>216120.1255245198</v>
      </c>
      <c r="L32" s="42">
        <f>'Э1 (СЗ)'!L37+'Э2 (СЗ)'!L37+'Э3 (СЗ)'!L37+'Э4 (СЗ)'!L37</f>
        <v>437098.26014494896</v>
      </c>
      <c r="M32" s="42">
        <f>'Э1 (СЗ)'!M37+'Э2 (СЗ)'!M37+'Э3 (СЗ)'!M37+'Э4 (СЗ)'!M37</f>
        <v>656102.58610000531</v>
      </c>
      <c r="N32" s="42">
        <f>'Э1 (СЗ)'!N37+'Э2 (СЗ)'!N37+'Э3 (СЗ)'!N37+'Э4 (СЗ)'!N37</f>
        <v>994806.51191569329</v>
      </c>
      <c r="O32" s="42">
        <f>'Э1 (СЗ)'!O37+'Э2 (СЗ)'!O37+'Э3 (СЗ)'!O37+'Э4 (СЗ)'!O37</f>
        <v>676322.14004666917</v>
      </c>
      <c r="P32" s="42">
        <f>'Э1 (СЗ)'!P37+'Э2 (СЗ)'!P37+'Э3 (СЗ)'!P37+'Э4 (СЗ)'!P37</f>
        <v>905445.92240313697</v>
      </c>
      <c r="Q32" s="42">
        <f>'Э1 (СЗ)'!Q37+'Э2 (СЗ)'!Q37+'Э3 (СЗ)'!Q37+'Э4 (СЗ)'!Q37</f>
        <v>460584.97444263345</v>
      </c>
      <c r="R32" s="42">
        <f>'Э1 (СЗ)'!R37+'Э2 (СЗ)'!R37+'Э3 (СЗ)'!R37+'Э4 (СЗ)'!R37</f>
        <v>578669.40117455274</v>
      </c>
      <c r="S32" s="42">
        <f>'Э1 (СЗ)'!S37+'Э2 (СЗ)'!S37+'Э3 (СЗ)'!S37+'Э4 (СЗ)'!S37</f>
        <v>1680.6972765078535</v>
      </c>
      <c r="T32" s="42">
        <f>'Э1 (СЗ)'!T37+'Э2 (СЗ)'!T37+'Э3 (СЗ)'!T37+'Э4 (СЗ)'!T37</f>
        <v>0</v>
      </c>
      <c r="U32" s="42">
        <f>'Э1 (СЗ)'!U37+'Э2 (СЗ)'!U37+'Э3 (СЗ)'!U37+'Э4 (СЗ)'!U37</f>
        <v>0</v>
      </c>
      <c r="V32" s="42">
        <f>'Э1 (СЗ)'!V37+'Э2 (СЗ)'!V37+'Э3 (СЗ)'!V37+'Э4 (СЗ)'!V37</f>
        <v>0</v>
      </c>
      <c r="W32" s="42">
        <f>'Э1 (СЗ)'!W37+'Э2 (СЗ)'!W37+'Э3 (СЗ)'!W37+'Э4 (СЗ)'!W37</f>
        <v>0</v>
      </c>
      <c r="X32" s="42">
        <f>'Э1 (СЗ)'!X37+'Э2 (СЗ)'!X37+'Э3 (СЗ)'!X37+'Э4 (СЗ)'!X37</f>
        <v>0</v>
      </c>
      <c r="Y32" s="42">
        <f>'Э1 (СЗ)'!Y37+'Э2 (СЗ)'!Y37+'Э3 (СЗ)'!Y37+'Э4 (СЗ)'!Y37</f>
        <v>0</v>
      </c>
      <c r="Z32" s="42">
        <f>'Э1 (СЗ)'!Z37+'Э2 (СЗ)'!Z37+'Э3 (СЗ)'!Z37+'Э4 (СЗ)'!Z37</f>
        <v>0</v>
      </c>
    </row>
    <row r="33" spans="1:26" s="28" customFormat="1" x14ac:dyDescent="0.2">
      <c r="A33" s="66" t="s">
        <v>28</v>
      </c>
      <c r="B33" s="65"/>
      <c r="C33" s="42">
        <f>'Э1 (СЗ)'!C38+'Э2 (СЗ)'!C38+'Э3 (СЗ)'!C38+'Э4 (СЗ)'!C38</f>
        <v>0</v>
      </c>
      <c r="D33" s="42">
        <f>'Э1 (СЗ)'!D38+'Э2 (СЗ)'!D38+'Э3 (СЗ)'!D38+'Э4 (СЗ)'!D38</f>
        <v>0</v>
      </c>
      <c r="E33" s="42">
        <f>'Э1 (СЗ)'!E38+'Э2 (СЗ)'!E38+'Э3 (СЗ)'!E38+'Э4 (СЗ)'!E38</f>
        <v>0</v>
      </c>
      <c r="F33" s="42">
        <f>'Э1 (СЗ)'!F38+'Э2 (СЗ)'!F38+'Э3 (СЗ)'!F38+'Э4 (СЗ)'!F38</f>
        <v>0</v>
      </c>
      <c r="G33" s="42">
        <f>'Э1 (СЗ)'!G38+'Э2 (СЗ)'!G38+'Э3 (СЗ)'!G38+'Э4 (СЗ)'!G38</f>
        <v>0</v>
      </c>
      <c r="H33" s="42">
        <f>'Э1 (СЗ)'!H38+'Э2 (СЗ)'!H38+'Э3 (СЗ)'!H38+'Э4 (СЗ)'!H38</f>
        <v>0</v>
      </c>
      <c r="I33" s="42">
        <f>'Э1 (СЗ)'!I38+'Э2 (СЗ)'!I38+'Э3 (СЗ)'!I38+'Э4 (СЗ)'!I38</f>
        <v>0</v>
      </c>
      <c r="J33" s="42">
        <f>'Э1 (СЗ)'!J38+'Э2 (СЗ)'!J38+'Э3 (СЗ)'!J38+'Э4 (СЗ)'!J38</f>
        <v>17113.186541387666</v>
      </c>
      <c r="K33" s="42">
        <f>'Э1 (СЗ)'!K38+'Э2 (СЗ)'!K38+'Э3 (СЗ)'!K38+'Э4 (СЗ)'!K38</f>
        <v>28706.88764726973</v>
      </c>
      <c r="L33" s="42">
        <f>'Э1 (СЗ)'!L38+'Э2 (СЗ)'!L38+'Э3 (СЗ)'!L38+'Э4 (СЗ)'!L38</f>
        <v>60139.92985204907</v>
      </c>
      <c r="M33" s="42">
        <f>'Э1 (СЗ)'!M38+'Э2 (СЗ)'!M38+'Э3 (СЗ)'!M38+'Э4 (СЗ)'!M38</f>
        <v>85334.398812103493</v>
      </c>
      <c r="N33" s="42">
        <f>'Э1 (СЗ)'!N38+'Э2 (СЗ)'!N38+'Э3 (СЗ)'!N38+'Э4 (СЗ)'!N38</f>
        <v>133203.59856869612</v>
      </c>
      <c r="O33" s="42">
        <f>'Э1 (СЗ)'!O38+'Э2 (СЗ)'!O38+'Э3 (СЗ)'!O38+'Э4 (СЗ)'!O38</f>
        <v>105553.95275876735</v>
      </c>
      <c r="P33" s="42">
        <f>'Э1 (СЗ)'!P38+'Э2 (СЗ)'!P38+'Э3 (СЗ)'!P38+'Э4 (СЗ)'!P38</f>
        <v>136507.15633784566</v>
      </c>
      <c r="Q33" s="42">
        <f>'Э1 (СЗ)'!Q38+'Э2 (СЗ)'!Q38+'Э3 (СЗ)'!Q38+'Э4 (СЗ)'!Q38</f>
        <v>77230.025031981699</v>
      </c>
      <c r="R33" s="42">
        <f>'Э1 (СЗ)'!R38+'Э2 (СЗ)'!R38+'Э3 (СЗ)'!R38+'Э4 (СЗ)'!R38</f>
        <v>94024.818120455486</v>
      </c>
      <c r="S33" s="42">
        <f>'Э1 (СЗ)'!S38+'Э2 (СЗ)'!S38+'Э3 (СЗ)'!S38+'Э4 (СЗ)'!S38</f>
        <v>1680.6972765078535</v>
      </c>
      <c r="T33" s="42">
        <f>'Э1 (СЗ)'!T38+'Э2 (СЗ)'!T38+'Э3 (СЗ)'!T38+'Э4 (СЗ)'!T38</f>
        <v>0</v>
      </c>
      <c r="U33" s="42">
        <f>'Э1 (СЗ)'!U38+'Э2 (СЗ)'!U38+'Э3 (СЗ)'!U38+'Э4 (СЗ)'!U38</f>
        <v>0</v>
      </c>
      <c r="V33" s="42">
        <f>'Э1 (СЗ)'!V38+'Э2 (СЗ)'!V38+'Э3 (СЗ)'!V38+'Э4 (СЗ)'!V38</f>
        <v>0</v>
      </c>
      <c r="W33" s="42">
        <f>'Э1 (СЗ)'!W38+'Э2 (СЗ)'!W38+'Э3 (СЗ)'!W38+'Э4 (СЗ)'!W38</f>
        <v>0</v>
      </c>
      <c r="X33" s="42">
        <f>'Э1 (СЗ)'!X38+'Э2 (СЗ)'!X38+'Э3 (СЗ)'!X38+'Э4 (СЗ)'!X38</f>
        <v>0</v>
      </c>
      <c r="Y33" s="42">
        <f>'Э1 (СЗ)'!Y38+'Э2 (СЗ)'!Y38+'Э3 (СЗ)'!Y38+'Э4 (СЗ)'!Y38</f>
        <v>0</v>
      </c>
      <c r="Z33" s="42">
        <f>'Э1 (СЗ)'!Z38+'Э2 (СЗ)'!Z38+'Э3 (СЗ)'!Z38+'Э4 (СЗ)'!Z38</f>
        <v>0</v>
      </c>
    </row>
    <row r="34" spans="1:26" s="28" customFormat="1" hidden="1" outlineLevel="1" x14ac:dyDescent="0.2">
      <c r="A34" s="66"/>
      <c r="B34" s="65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42"/>
      <c r="X34" s="42"/>
      <c r="Y34" s="42"/>
      <c r="Z34" s="42"/>
    </row>
    <row r="35" spans="1:26" s="44" customFormat="1" collapsed="1" x14ac:dyDescent="0.2">
      <c r="A35" s="43" t="s">
        <v>0</v>
      </c>
      <c r="B35" s="49"/>
      <c r="C35" s="49">
        <f t="shared" ref="C35:Z35" si="14">C29+C30+C31</f>
        <v>0</v>
      </c>
      <c r="D35" s="49">
        <f t="shared" si="14"/>
        <v>0</v>
      </c>
      <c r="E35" s="49">
        <f t="shared" si="14"/>
        <v>0</v>
      </c>
      <c r="F35" s="49">
        <f t="shared" si="14"/>
        <v>0</v>
      </c>
      <c r="G35" s="49">
        <f t="shared" si="14"/>
        <v>0</v>
      </c>
      <c r="H35" s="49">
        <f t="shared" si="14"/>
        <v>0</v>
      </c>
      <c r="I35" s="49">
        <f t="shared" si="14"/>
        <v>0</v>
      </c>
      <c r="J35" s="49">
        <f t="shared" si="14"/>
        <v>0</v>
      </c>
      <c r="K35" s="49">
        <f t="shared" si="14"/>
        <v>-1.4551915228366852E-11</v>
      </c>
      <c r="L35" s="49">
        <f t="shared" si="14"/>
        <v>-5.8207660913467407E-11</v>
      </c>
      <c r="M35" s="49">
        <f t="shared" si="14"/>
        <v>-2.9103830456733704E-11</v>
      </c>
      <c r="N35" s="49">
        <f t="shared" si="14"/>
        <v>5.8207660913467407E-11</v>
      </c>
      <c r="O35" s="49">
        <f t="shared" si="14"/>
        <v>33549.76662840147</v>
      </c>
      <c r="P35" s="49">
        <f t="shared" si="14"/>
        <v>86444.176524849725</v>
      </c>
      <c r="Q35" s="49">
        <f t="shared" si="14"/>
        <v>119992.91022323084</v>
      </c>
      <c r="R35" s="49">
        <f t="shared" si="14"/>
        <v>191324.60180488435</v>
      </c>
      <c r="S35" s="49">
        <f t="shared" si="14"/>
        <v>103798.05192237091</v>
      </c>
      <c r="T35" s="49">
        <f t="shared" si="14"/>
        <v>205896.39855669817</v>
      </c>
      <c r="U35" s="49">
        <f t="shared" si="14"/>
        <v>86661.371501402333</v>
      </c>
      <c r="V35" s="49">
        <f t="shared" si="14"/>
        <v>105355.02270120647</v>
      </c>
      <c r="W35" s="49">
        <f t="shared" si="14"/>
        <v>0</v>
      </c>
      <c r="X35" s="49">
        <f t="shared" si="14"/>
        <v>0</v>
      </c>
      <c r="Y35" s="49">
        <f t="shared" si="14"/>
        <v>0</v>
      </c>
      <c r="Z35" s="49">
        <f t="shared" si="14"/>
        <v>0</v>
      </c>
    </row>
    <row r="36" spans="1:26" x14ac:dyDescent="0.2">
      <c r="A36" s="9" t="s">
        <v>5</v>
      </c>
      <c r="B36" s="4">
        <f>SUM(C36:Z36)</f>
        <v>-187150.82765536156</v>
      </c>
      <c r="C36" s="38">
        <f>'Э1 (СЗ)'!C41+'Э2 (СЗ)'!C41+'Э3 (СЗ)'!C41+'Э4 (СЗ)'!C41</f>
        <v>0</v>
      </c>
      <c r="D36" s="38">
        <f>'Э1 (СЗ)'!D41+'Э2 (СЗ)'!D41+'Э3 (СЗ)'!D41+'Э4 (СЗ)'!D41</f>
        <v>0</v>
      </c>
      <c r="E36" s="38">
        <f>'Э1 (СЗ)'!E41+'Э2 (СЗ)'!E41+'Э3 (СЗ)'!E41+'Э4 (СЗ)'!E41</f>
        <v>0</v>
      </c>
      <c r="F36" s="38">
        <f>'Э1 (СЗ)'!F41+'Э2 (СЗ)'!F41+'Э3 (СЗ)'!F41+'Э4 (СЗ)'!F41</f>
        <v>0</v>
      </c>
      <c r="G36" s="38">
        <f>'Э1 (СЗ)'!G41+'Э2 (СЗ)'!G41+'Э3 (СЗ)'!G41+'Э4 (СЗ)'!G41</f>
        <v>0</v>
      </c>
      <c r="H36" s="38">
        <f>'Э1 (СЗ)'!H41+'Э2 (СЗ)'!H41+'Э3 (СЗ)'!H41+'Э4 (СЗ)'!H41</f>
        <v>0</v>
      </c>
      <c r="I36" s="38">
        <f>'Э1 (СЗ)'!I41+'Э2 (СЗ)'!I41+'Э3 (СЗ)'!I41+'Э4 (СЗ)'!I41</f>
        <v>0</v>
      </c>
      <c r="J36" s="38">
        <f>'Э1 (СЗ)'!J41+'Э2 (СЗ)'!J41+'Э3 (СЗ)'!J41+'Э4 (СЗ)'!J41</f>
        <v>0</v>
      </c>
      <c r="K36" s="38">
        <f>'Э1 (СЗ)'!K41+'Э2 (СЗ)'!K41+'Э3 (СЗ)'!K41+'Э4 (СЗ)'!K41</f>
        <v>0</v>
      </c>
      <c r="L36" s="38">
        <f>'Э1 (СЗ)'!L41+'Э2 (СЗ)'!L41+'Э3 (СЗ)'!L41+'Э4 (СЗ)'!L41</f>
        <v>0</v>
      </c>
      <c r="M36" s="38">
        <f>'Э1 (СЗ)'!M41+'Э2 (СЗ)'!M41+'Э3 (СЗ)'!M41+'Э4 (СЗ)'!M41</f>
        <v>0</v>
      </c>
      <c r="N36" s="38">
        <f>'Э1 (СЗ)'!N41+'Э2 (СЗ)'!N41+'Э3 (СЗ)'!N41+'Э4 (СЗ)'!N41</f>
        <v>0</v>
      </c>
      <c r="O36" s="38">
        <f>'Э1 (СЗ)'!O41+'Э2 (СЗ)'!O41+'Э3 (СЗ)'!O41+'Э4 (СЗ)'!O41</f>
        <v>-1349.4689106034873</v>
      </c>
      <c r="P36" s="38">
        <f>'Э1 (СЗ)'!P41+'Э2 (СЗ)'!P41+'Э3 (СЗ)'!P41+'Э4 (СЗ)'!P41</f>
        <v>-19953.241879969952</v>
      </c>
      <c r="Q36" s="38">
        <f>'Э1 (СЗ)'!Q41+'Э2 (СЗ)'!Q41+'Э3 (СЗ)'!Q41+'Э4 (СЗ)'!Q41</f>
        <v>-21582.969721234345</v>
      </c>
      <c r="R36" s="38">
        <f>'Э1 (СЗ)'!R41+'Э2 (СЗ)'!R41+'Э3 (СЗ)'!R41+'Э4 (СЗ)'!R41</f>
        <v>-41426.663584508147</v>
      </c>
      <c r="S36" s="38">
        <f>'Э1 (СЗ)'!S41+'Э2 (СЗ)'!S41+'Э3 (СЗ)'!S41+'Э4 (СЗ)'!S41</f>
        <v>-21183.275902524678</v>
      </c>
      <c r="T36" s="38">
        <f>'Э1 (СЗ)'!T41+'Э2 (СЗ)'!T41+'Э3 (СЗ)'!T41+'Э4 (СЗ)'!T41</f>
        <v>-39571.573861709941</v>
      </c>
      <c r="U36" s="38">
        <f>'Э1 (СЗ)'!U41+'Э2 (СЗ)'!U41+'Э3 (СЗ)'!U41+'Э4 (СЗ)'!U41</f>
        <v>-20582.60875374846</v>
      </c>
      <c r="V36" s="38">
        <f>'Э1 (СЗ)'!V41+'Э2 (СЗ)'!V41+'Э3 (СЗ)'!V41+'Э4 (СЗ)'!V41</f>
        <v>-21501.025041062545</v>
      </c>
      <c r="W36" s="38">
        <f>'Э1 (СЗ)'!W41+'Э2 (СЗ)'!W41+'Э3 (СЗ)'!W41+'Э4 (СЗ)'!W41</f>
        <v>0</v>
      </c>
      <c r="X36" s="38">
        <f>'Э1 (СЗ)'!X41+'Э2 (СЗ)'!X41+'Э3 (СЗ)'!X41+'Э4 (СЗ)'!X41</f>
        <v>0</v>
      </c>
      <c r="Y36" s="38">
        <f>'Э1 (СЗ)'!Y41+'Э2 (СЗ)'!Y41+'Э3 (СЗ)'!Y41+'Э4 (СЗ)'!Y41</f>
        <v>0</v>
      </c>
      <c r="Z36" s="38">
        <f>'Э1 (СЗ)'!Z41+'Э2 (СЗ)'!Z41+'Э3 (СЗ)'!Z41+'Э4 (СЗ)'!Z41</f>
        <v>0</v>
      </c>
    </row>
    <row r="37" spans="1:26" s="44" customFormat="1" x14ac:dyDescent="0.2">
      <c r="A37" s="43" t="s">
        <v>29</v>
      </c>
      <c r="B37" s="49"/>
      <c r="C37" s="49">
        <f t="shared" ref="C37:Z37" si="15">C35+C36</f>
        <v>0</v>
      </c>
      <c r="D37" s="49">
        <f t="shared" si="15"/>
        <v>0</v>
      </c>
      <c r="E37" s="49">
        <f t="shared" si="15"/>
        <v>0</v>
      </c>
      <c r="F37" s="49">
        <f t="shared" si="15"/>
        <v>0</v>
      </c>
      <c r="G37" s="49">
        <f t="shared" si="15"/>
        <v>0</v>
      </c>
      <c r="H37" s="49">
        <f t="shared" si="15"/>
        <v>0</v>
      </c>
      <c r="I37" s="49">
        <f t="shared" si="15"/>
        <v>0</v>
      </c>
      <c r="J37" s="49">
        <f t="shared" si="15"/>
        <v>0</v>
      </c>
      <c r="K37" s="49">
        <f t="shared" si="15"/>
        <v>-1.4551915228366852E-11</v>
      </c>
      <c r="L37" s="49">
        <f t="shared" si="15"/>
        <v>-5.8207660913467407E-11</v>
      </c>
      <c r="M37" s="49">
        <f t="shared" si="15"/>
        <v>-2.9103830456733704E-11</v>
      </c>
      <c r="N37" s="49">
        <f t="shared" si="15"/>
        <v>5.8207660913467407E-11</v>
      </c>
      <c r="O37" s="49">
        <f t="shared" si="15"/>
        <v>32200.297717797985</v>
      </c>
      <c r="P37" s="49">
        <f t="shared" si="15"/>
        <v>66490.934644879773</v>
      </c>
      <c r="Q37" s="49">
        <f t="shared" si="15"/>
        <v>98409.940501996491</v>
      </c>
      <c r="R37" s="49">
        <f t="shared" si="15"/>
        <v>149897.93822037621</v>
      </c>
      <c r="S37" s="49">
        <f t="shared" si="15"/>
        <v>82614.776019846235</v>
      </c>
      <c r="T37" s="49">
        <f t="shared" si="15"/>
        <v>166324.82469498823</v>
      </c>
      <c r="U37" s="49">
        <f t="shared" si="15"/>
        <v>66078.762747653876</v>
      </c>
      <c r="V37" s="49">
        <f t="shared" si="15"/>
        <v>83853.997660143927</v>
      </c>
      <c r="W37" s="49">
        <f t="shared" si="15"/>
        <v>0</v>
      </c>
      <c r="X37" s="49">
        <f t="shared" si="15"/>
        <v>0</v>
      </c>
      <c r="Y37" s="49">
        <f t="shared" si="15"/>
        <v>0</v>
      </c>
      <c r="Z37" s="49">
        <f t="shared" si="15"/>
        <v>0</v>
      </c>
    </row>
    <row r="38" spans="1:26" x14ac:dyDescent="0.2">
      <c r="A38" s="9" t="s">
        <v>30</v>
      </c>
      <c r="B38" s="4">
        <f>SUM(C38:Z38)</f>
        <v>-745871.47220768279</v>
      </c>
      <c r="C38" s="38">
        <f>'Э1 (СЗ)'!C43+'Э2 (СЗ)'!C43+'Э3 (СЗ)'!C43+'Э4 (СЗ)'!C43</f>
        <v>0</v>
      </c>
      <c r="D38" s="38">
        <f>'Э1 (СЗ)'!D43+'Э2 (СЗ)'!D43+'Э3 (СЗ)'!D43+'Э4 (СЗ)'!D43</f>
        <v>0</v>
      </c>
      <c r="E38" s="38">
        <f>'Э1 (СЗ)'!E43+'Э2 (СЗ)'!E43+'Э3 (СЗ)'!E43+'Э4 (СЗ)'!E43</f>
        <v>0</v>
      </c>
      <c r="F38" s="38">
        <f>'Э1 (СЗ)'!F43+'Э2 (СЗ)'!F43+'Э3 (СЗ)'!F43+'Э4 (СЗ)'!F43</f>
        <v>0</v>
      </c>
      <c r="G38" s="38">
        <f>'Э1 (СЗ)'!G43+'Э2 (СЗ)'!G43+'Э3 (СЗ)'!G43+'Э4 (СЗ)'!G43</f>
        <v>0</v>
      </c>
      <c r="H38" s="38">
        <f>'Э1 (СЗ)'!H43+'Э2 (СЗ)'!H43+'Э3 (СЗ)'!H43+'Э4 (СЗ)'!H43</f>
        <v>0</v>
      </c>
      <c r="I38" s="38">
        <f>'Э1 (СЗ)'!I43+'Э2 (СЗ)'!I43+'Э3 (СЗ)'!I43+'Э4 (СЗ)'!I43</f>
        <v>0</v>
      </c>
      <c r="J38" s="38">
        <f>'Э1 (СЗ)'!J43+'Э2 (СЗ)'!J43+'Э3 (СЗ)'!J43+'Э4 (СЗ)'!J43</f>
        <v>0</v>
      </c>
      <c r="K38" s="38">
        <f>'Э1 (СЗ)'!K43+'Э2 (СЗ)'!K43+'Э3 (СЗ)'!K43+'Э4 (СЗ)'!K43</f>
        <v>0</v>
      </c>
      <c r="L38" s="38">
        <f>'Э1 (СЗ)'!L43+'Э2 (СЗ)'!L43+'Э3 (СЗ)'!L43+'Э4 (СЗ)'!L43</f>
        <v>0</v>
      </c>
      <c r="M38" s="38">
        <f>'Э1 (СЗ)'!M43+'Э2 (СЗ)'!M43+'Э3 (СЗ)'!M43+'Э4 (СЗ)'!M43</f>
        <v>0</v>
      </c>
      <c r="N38" s="38">
        <f>'Э1 (СЗ)'!N43+'Э2 (СЗ)'!N43+'Э3 (СЗ)'!N43+'Э4 (СЗ)'!N43</f>
        <v>0</v>
      </c>
      <c r="O38" s="38">
        <f>'Э1 (СЗ)'!O43+'Э2 (СЗ)'!O43+'Э3 (СЗ)'!O43+'Э4 (СЗ)'!O43</f>
        <v>-32200.297717797985</v>
      </c>
      <c r="P38" s="38">
        <f>'Э1 (СЗ)'!P43+'Э2 (СЗ)'!P43+'Э3 (СЗ)'!P43+'Э4 (СЗ)'!P43</f>
        <v>-66490.934644879802</v>
      </c>
      <c r="Q38" s="38">
        <f>'Э1 (СЗ)'!Q43+'Э2 (СЗ)'!Q43+'Э3 (СЗ)'!Q43+'Э4 (СЗ)'!Q43</f>
        <v>-98409.940501996505</v>
      </c>
      <c r="R38" s="38">
        <f>'Э1 (СЗ)'!R43+'Э2 (СЗ)'!R43+'Э3 (СЗ)'!R43+'Э4 (СЗ)'!R43</f>
        <v>-149897.93822037621</v>
      </c>
      <c r="S38" s="38">
        <f>'Э1 (СЗ)'!S43+'Э2 (СЗ)'!S43+'Э3 (СЗ)'!S43+'Э4 (СЗ)'!S43</f>
        <v>-82614.776019846249</v>
      </c>
      <c r="T38" s="38">
        <f>'Э1 (СЗ)'!T43+'Э2 (СЗ)'!T43+'Э3 (СЗ)'!T43+'Э4 (СЗ)'!T43</f>
        <v>-166324.82469498823</v>
      </c>
      <c r="U38" s="38">
        <f>'Э1 (СЗ)'!U43+'Э2 (СЗ)'!U43+'Э3 (СЗ)'!U43+'Э4 (СЗ)'!U43</f>
        <v>-66078.762747653876</v>
      </c>
      <c r="V38" s="38">
        <f>'Э1 (СЗ)'!V43+'Э2 (СЗ)'!V43+'Э3 (СЗ)'!V43+'Э4 (СЗ)'!V43</f>
        <v>-83853.997660143927</v>
      </c>
      <c r="W38" s="38">
        <f>'Э1 (СЗ)'!W43+'Э2 (СЗ)'!W43+'Э3 (СЗ)'!W43+'Э4 (СЗ)'!W43</f>
        <v>0</v>
      </c>
      <c r="X38" s="38">
        <f>'Э1 (СЗ)'!X43+'Э2 (СЗ)'!X43+'Э3 (СЗ)'!X43+'Э4 (СЗ)'!X43</f>
        <v>0</v>
      </c>
      <c r="Y38" s="38">
        <f>'Э1 (СЗ)'!Y43+'Э2 (СЗ)'!Y43+'Э3 (СЗ)'!Y43+'Э4 (СЗ)'!Y43</f>
        <v>0</v>
      </c>
      <c r="Z38" s="38">
        <f>'Э1 (СЗ)'!Z43+'Э2 (СЗ)'!Z43+'Э3 (СЗ)'!Z43+'Э4 (СЗ)'!Z43</f>
        <v>0</v>
      </c>
    </row>
    <row r="39" spans="1:26" s="44" customFormat="1" x14ac:dyDescent="0.2">
      <c r="A39" s="43" t="s">
        <v>31</v>
      </c>
      <c r="B39" s="49"/>
      <c r="C39" s="49">
        <f t="shared" ref="C39:Z39" si="16">C37+C38</f>
        <v>0</v>
      </c>
      <c r="D39" s="49">
        <f t="shared" si="16"/>
        <v>0</v>
      </c>
      <c r="E39" s="49">
        <f t="shared" si="16"/>
        <v>0</v>
      </c>
      <c r="F39" s="49">
        <f t="shared" si="16"/>
        <v>0</v>
      </c>
      <c r="G39" s="49">
        <f t="shared" si="16"/>
        <v>0</v>
      </c>
      <c r="H39" s="49">
        <f t="shared" si="16"/>
        <v>0</v>
      </c>
      <c r="I39" s="49">
        <f t="shared" si="16"/>
        <v>0</v>
      </c>
      <c r="J39" s="49">
        <f t="shared" si="16"/>
        <v>0</v>
      </c>
      <c r="K39" s="49">
        <f t="shared" si="16"/>
        <v>-1.4551915228366852E-11</v>
      </c>
      <c r="L39" s="49">
        <f t="shared" si="16"/>
        <v>-5.8207660913467407E-11</v>
      </c>
      <c r="M39" s="49">
        <f t="shared" si="16"/>
        <v>-2.9103830456733704E-11</v>
      </c>
      <c r="N39" s="49">
        <f t="shared" si="16"/>
        <v>5.8207660913467407E-11</v>
      </c>
      <c r="O39" s="49">
        <f t="shared" si="16"/>
        <v>0</v>
      </c>
      <c r="P39" s="49">
        <f t="shared" si="16"/>
        <v>0</v>
      </c>
      <c r="Q39" s="49">
        <f t="shared" si="16"/>
        <v>0</v>
      </c>
      <c r="R39" s="49">
        <f t="shared" si="16"/>
        <v>0</v>
      </c>
      <c r="S39" s="49">
        <f t="shared" si="16"/>
        <v>0</v>
      </c>
      <c r="T39" s="49">
        <f t="shared" si="16"/>
        <v>0</v>
      </c>
      <c r="U39" s="49">
        <f t="shared" si="16"/>
        <v>0</v>
      </c>
      <c r="V39" s="49">
        <f t="shared" si="16"/>
        <v>0</v>
      </c>
      <c r="W39" s="49">
        <f t="shared" si="16"/>
        <v>0</v>
      </c>
      <c r="X39" s="49">
        <f t="shared" si="16"/>
        <v>0</v>
      </c>
      <c r="Y39" s="49">
        <f t="shared" si="16"/>
        <v>0</v>
      </c>
      <c r="Z39" s="49">
        <f t="shared" si="16"/>
        <v>0</v>
      </c>
    </row>
    <row r="40" spans="1:26" s="18" customFormat="1" x14ac:dyDescent="0.2">
      <c r="A40" s="16" t="s">
        <v>32</v>
      </c>
      <c r="B40" s="4">
        <f>SUM(C40:Z40)</f>
        <v>745871.47220768256</v>
      </c>
      <c r="C40" s="38">
        <f t="shared" ref="C40:Z40" si="17">C11+C17+C36+C26+C27</f>
        <v>0</v>
      </c>
      <c r="D40" s="38">
        <f t="shared" si="17"/>
        <v>0</v>
      </c>
      <c r="E40" s="38">
        <f t="shared" si="17"/>
        <v>0</v>
      </c>
      <c r="F40" s="38">
        <f t="shared" si="17"/>
        <v>0</v>
      </c>
      <c r="G40" s="38">
        <f t="shared" si="17"/>
        <v>0</v>
      </c>
      <c r="H40" s="38">
        <f t="shared" si="17"/>
        <v>0</v>
      </c>
      <c r="I40" s="38">
        <f t="shared" si="17"/>
        <v>0</v>
      </c>
      <c r="J40" s="38">
        <f t="shared" si="17"/>
        <v>-109777.3338230935</v>
      </c>
      <c r="K40" s="38">
        <f t="shared" si="17"/>
        <v>-106342.79170142631</v>
      </c>
      <c r="L40" s="38">
        <f t="shared" si="17"/>
        <v>-220978.13462042916</v>
      </c>
      <c r="M40" s="38">
        <f t="shared" si="17"/>
        <v>-219004.32595505629</v>
      </c>
      <c r="N40" s="38">
        <f t="shared" si="17"/>
        <v>-338703.92581568792</v>
      </c>
      <c r="O40" s="38">
        <f t="shared" si="17"/>
        <v>350684.66958682204</v>
      </c>
      <c r="P40" s="38">
        <f t="shared" si="17"/>
        <v>-162632.84771158799</v>
      </c>
      <c r="Q40" s="38">
        <f t="shared" si="17"/>
        <v>543270.88846249995</v>
      </c>
      <c r="R40" s="38">
        <f t="shared" si="17"/>
        <v>31813.511488456963</v>
      </c>
      <c r="S40" s="38">
        <f t="shared" si="17"/>
        <v>659603.47991789109</v>
      </c>
      <c r="T40" s="38">
        <f t="shared" si="17"/>
        <v>168005.52197149608</v>
      </c>
      <c r="U40" s="38">
        <f t="shared" si="17"/>
        <v>66078.762747653876</v>
      </c>
      <c r="V40" s="38">
        <f t="shared" si="17"/>
        <v>83853.997660143927</v>
      </c>
      <c r="W40" s="38">
        <f t="shared" si="17"/>
        <v>0</v>
      </c>
      <c r="X40" s="38">
        <f t="shared" si="17"/>
        <v>0</v>
      </c>
      <c r="Y40" s="38">
        <f t="shared" si="17"/>
        <v>0</v>
      </c>
      <c r="Z40" s="38">
        <f t="shared" si="17"/>
        <v>0</v>
      </c>
    </row>
    <row r="41" spans="1:26" x14ac:dyDescent="0.2">
      <c r="A41" s="15" t="s">
        <v>50</v>
      </c>
      <c r="B41" s="19">
        <f>IRR(C40:Z40)*4</f>
        <v>0.42967113456750106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x14ac:dyDescent="0.2">
      <c r="A42" s="21"/>
      <c r="B42" s="56"/>
      <c r="C42" s="56"/>
      <c r="D42" s="56"/>
      <c r="E42" s="56"/>
      <c r="F42" s="56"/>
      <c r="G42" s="57"/>
      <c r="H42" s="57"/>
      <c r="I42" s="57"/>
      <c r="J42" s="58"/>
      <c r="K42" s="58"/>
      <c r="L42" s="58"/>
      <c r="M42" s="58"/>
      <c r="N42" s="58"/>
      <c r="O42" s="58"/>
      <c r="P42" s="58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idden="1" outlineLevel="1" x14ac:dyDescent="0.2">
      <c r="A43" s="9" t="s">
        <v>51</v>
      </c>
      <c r="B43" s="4">
        <f>SUM(C43:Z43)</f>
        <v>2715678.5362213477</v>
      </c>
      <c r="C43" s="38">
        <f>'Э1 (СЗ)'!C48+'Э2 (СЗ)'!C48+'Э3 (СЗ)'!C48+'Э4 (СЗ)'!C48</f>
        <v>0</v>
      </c>
      <c r="D43" s="38">
        <f>'Э1 (СЗ)'!D48+'Э2 (СЗ)'!D48+'Э3 (СЗ)'!D48+'Э4 (СЗ)'!D48</f>
        <v>0</v>
      </c>
      <c r="E43" s="38">
        <f>'Э1 (СЗ)'!E48+'Э2 (СЗ)'!E48+'Э3 (СЗ)'!E48+'Э4 (СЗ)'!E48</f>
        <v>0</v>
      </c>
      <c r="F43" s="38">
        <f>'Э1 (СЗ)'!F48+'Э2 (СЗ)'!F48+'Э3 (СЗ)'!F48+'Э4 (СЗ)'!F48</f>
        <v>0</v>
      </c>
      <c r="G43" s="38">
        <f>'Э1 (СЗ)'!G48+'Э2 (СЗ)'!G48+'Э3 (СЗ)'!G48+'Э4 (СЗ)'!G48</f>
        <v>0</v>
      </c>
      <c r="H43" s="38">
        <f>'Э1 (СЗ)'!H48+'Э2 (СЗ)'!H48+'Э3 (СЗ)'!H48+'Э4 (СЗ)'!H48</f>
        <v>0</v>
      </c>
      <c r="I43" s="38">
        <f>'Э1 (СЗ)'!I48+'Э2 (СЗ)'!I48+'Э3 (СЗ)'!I48+'Э4 (СЗ)'!I48</f>
        <v>0</v>
      </c>
      <c r="J43" s="38">
        <f>'Э1 (СЗ)'!J48+'Э2 (СЗ)'!J48+'Э3 (СЗ)'!J48+'Э4 (СЗ)'!J48</f>
        <v>92664.147281705838</v>
      </c>
      <c r="K43" s="38">
        <f>'Э1 (СЗ)'!K48+'Э2 (СЗ)'!K48+'Э3 (СЗ)'!K48+'Э4 (СЗ)'!K48</f>
        <v>94749.090595544229</v>
      </c>
      <c r="L43" s="38">
        <f>'Э1 (СЗ)'!L48+'Э2 (СЗ)'!L48+'Э3 (СЗ)'!L48+'Э4 (СЗ)'!L48</f>
        <v>189545.09241564979</v>
      </c>
      <c r="M43" s="38">
        <f>'Э1 (СЗ)'!M48+'Э2 (СЗ)'!M48+'Э3 (СЗ)'!M48+'Э4 (СЗ)'!M48</f>
        <v>193809.85699500196</v>
      </c>
      <c r="N43" s="38">
        <f>'Э1 (СЗ)'!N48+'Э2 (СЗ)'!N48+'Э3 (СЗ)'!N48+'Э4 (СЗ)'!N48</f>
        <v>290834.72605909535</v>
      </c>
      <c r="O43" s="38">
        <f>'Э1 (СЗ)'!O48+'Э2 (СЗ)'!O48+'Э3 (СЗ)'!O48+'Э4 (СЗ)'!O48</f>
        <v>296618.83514309913</v>
      </c>
      <c r="P43" s="38">
        <f>'Э1 (СЗ)'!P48+'Э2 (СЗ)'!P48+'Э3 (СЗ)'!P48+'Э4 (СЗ)'!P48</f>
        <v>302521.69159770809</v>
      </c>
      <c r="Q43" s="38">
        <f>'Э1 (СЗ)'!Q48+'Э2 (СЗ)'!Q48+'Э3 (СЗ)'!Q48+'Э4 (СЗ)'!Q48</f>
        <v>307786.12406017829</v>
      </c>
      <c r="R43" s="38">
        <f>'Э1 (СЗ)'!R48+'Э2 (СЗ)'!R48+'Э3 (СЗ)'!R48+'Э4 (СЗ)'!R48</f>
        <v>313145.87166907685</v>
      </c>
      <c r="S43" s="38">
        <f>'Э1 (СЗ)'!S48+'Э2 (СЗ)'!S48+'Э3 (СЗ)'!S48+'Э4 (СЗ)'!S48</f>
        <v>208725.35766072059</v>
      </c>
      <c r="T43" s="38">
        <f>'Э1 (СЗ)'!T48+'Э2 (СЗ)'!T48+'Э3 (СЗ)'!T48+'Э4 (СЗ)'!T48</f>
        <v>211856.23802563135</v>
      </c>
      <c r="U43" s="38">
        <f>'Э1 (СЗ)'!U48+'Э2 (СЗ)'!U48+'Э3 (СЗ)'!U48+'Э4 (СЗ)'!U48</f>
        <v>105916.37951262339</v>
      </c>
      <c r="V43" s="38">
        <f>'Э1 (СЗ)'!V48+'Э2 (СЗ)'!V48+'Э3 (СЗ)'!V48+'Э4 (СЗ)'!V48</f>
        <v>107505.12520531272</v>
      </c>
      <c r="W43" s="38">
        <f>'Э1 (СЗ)'!W48+'Э2 (СЗ)'!W48+'Э3 (СЗ)'!W48+'Э4 (СЗ)'!W48</f>
        <v>0</v>
      </c>
      <c r="X43" s="38">
        <f>'Э1 (СЗ)'!X48+'Э2 (СЗ)'!X48+'Э3 (СЗ)'!X48+'Э4 (СЗ)'!X48</f>
        <v>0</v>
      </c>
      <c r="Y43" s="38">
        <f>'Э1 (СЗ)'!Y48+'Э2 (СЗ)'!Y48+'Э3 (СЗ)'!Y48+'Э4 (СЗ)'!Y48</f>
        <v>0</v>
      </c>
      <c r="Z43" s="38">
        <f>'Э1 (СЗ)'!Z48+'Э2 (СЗ)'!Z48+'Э3 (СЗ)'!Z48+'Э4 (СЗ)'!Z48</f>
        <v>0</v>
      </c>
    </row>
    <row r="44" spans="1:26" hidden="1" outlineLevel="1" x14ac:dyDescent="0.2">
      <c r="A44" s="9" t="s">
        <v>6</v>
      </c>
      <c r="B44" s="4">
        <f>SUM(C44:Z44)</f>
        <v>-1959276.0379445397</v>
      </c>
      <c r="C44" s="38">
        <f>'Э1 (СЗ)'!C49+'Э2 (СЗ)'!C49+'Э3 (СЗ)'!C49+'Э4 (СЗ)'!C49</f>
        <v>0</v>
      </c>
      <c r="D44" s="38">
        <f>'Э1 (СЗ)'!D49+'Э2 (СЗ)'!D49+'Э3 (СЗ)'!D49+'Э4 (СЗ)'!D49</f>
        <v>0</v>
      </c>
      <c r="E44" s="38">
        <f>'Э1 (СЗ)'!E49+'Э2 (СЗ)'!E49+'Э3 (СЗ)'!E49+'Э4 (СЗ)'!E49</f>
        <v>0</v>
      </c>
      <c r="F44" s="38">
        <f>'Э1 (СЗ)'!F49+'Э2 (СЗ)'!F49+'Э3 (СЗ)'!F49+'Э4 (СЗ)'!F49</f>
        <v>-35870.327999999994</v>
      </c>
      <c r="G44" s="38">
        <f>'Э1 (СЗ)'!G49+'Э2 (СЗ)'!G49+'Э3 (СЗ)'!G49+'Э4 (СЗ)'!G49</f>
        <v>-35870.327999999994</v>
      </c>
      <c r="H44" s="38">
        <f>'Э1 (СЗ)'!H49+'Э2 (СЗ)'!H49+'Э3 (СЗ)'!H49+'Э4 (СЗ)'!H49</f>
        <v>-49271.539037692026</v>
      </c>
      <c r="I44" s="38">
        <f>'Э1 (СЗ)'!I49+'Э2 (СЗ)'!I49+'Э3 (СЗ)'!I49+'Э4 (СЗ)'!I49</f>
        <v>-49271.539037692026</v>
      </c>
      <c r="J44" s="38">
        <f>'Э1 (СЗ)'!J49+'Э2 (СЗ)'!J49+'Э3 (СЗ)'!J49+'Э4 (СЗ)'!J49</f>
        <v>-159369.35568434349</v>
      </c>
      <c r="K44" s="38">
        <f>'Э1 (СЗ)'!K49+'Э2 (СЗ)'!K49+'Э3 (СЗ)'!K49+'Э4 (СЗ)'!K49</f>
        <v>-120064.4855626763</v>
      </c>
      <c r="L44" s="38">
        <f>'Э1 (СЗ)'!L49+'Э2 (СЗ)'!L49+'Э3 (СЗ)'!L49+'Э4 (СЗ)'!L49</f>
        <v>-232534.94537560316</v>
      </c>
      <c r="M44" s="38">
        <f>'Э1 (СЗ)'!M49+'Э2 (СЗ)'!M49+'Э3 (СЗ)'!M49+'Э4 (СЗ)'!M49</f>
        <v>-230519.43784395355</v>
      </c>
      <c r="N44" s="38">
        <f>'Э1 (СЗ)'!N49+'Э2 (СЗ)'!N49+'Э3 (СЗ)'!N49+'Э4 (СЗ)'!N49</f>
        <v>-333341.38016680162</v>
      </c>
      <c r="O44" s="38">
        <f>'Э1 (СЗ)'!O49+'Э2 (СЗ)'!O49+'Э3 (СЗ)'!O49+'Э4 (СЗ)'!O49</f>
        <v>-229971.58176429546</v>
      </c>
      <c r="P44" s="38">
        <f>'Э1 (СЗ)'!P49+'Э2 (СЗ)'!P49+'Э3 (СЗ)'!P49+'Э4 (СЗ)'!P49</f>
        <v>-228173.63040081548</v>
      </c>
      <c r="Q44" s="38">
        <f>'Э1 (СЗ)'!Q49+'Э2 (СЗ)'!Q49+'Э3 (СЗ)'!Q49+'Э4 (СЗ)'!Q49</f>
        <v>-123630.2948158384</v>
      </c>
      <c r="R44" s="38">
        <f>'Э1 (СЗ)'!R49+'Э2 (СЗ)'!R49+'Э3 (СЗ)'!R49+'Э4 (СЗ)'!R49</f>
        <v>-119933.16133784696</v>
      </c>
      <c r="S44" s="38">
        <f>'Э1 (СЗ)'!S49+'Э2 (СЗ)'!S49+'Э3 (СЗ)'!S49+'Э4 (СЗ)'!S49</f>
        <v>-8408.6777411876028</v>
      </c>
      <c r="T44" s="38">
        <f>'Э1 (СЗ)'!T49+'Э2 (СЗ)'!T49+'Э3 (СЗ)'!T49+'Э4 (СЗ)'!T49</f>
        <v>-42.017431912696338</v>
      </c>
      <c r="U44" s="38">
        <f>'Э1 (СЗ)'!U49+'Э2 (СЗ)'!U49+'Э3 (СЗ)'!U49+'Э4 (СЗ)'!U49</f>
        <v>-3003.335743881094</v>
      </c>
      <c r="V44" s="38">
        <f>'Э1 (СЗ)'!V49+'Э2 (СЗ)'!V49+'Э3 (СЗ)'!V49+'Э4 (СЗ)'!V49</f>
        <v>0</v>
      </c>
      <c r="W44" s="38">
        <f>'Э1 (СЗ)'!W49+'Э2 (СЗ)'!W49+'Э3 (СЗ)'!W49+'Э4 (СЗ)'!W49</f>
        <v>0</v>
      </c>
      <c r="X44" s="38">
        <f>'Э1 (СЗ)'!X49+'Э2 (СЗ)'!X49+'Э3 (СЗ)'!X49+'Э4 (СЗ)'!X49</f>
        <v>0</v>
      </c>
      <c r="Y44" s="38">
        <f>'Э1 (СЗ)'!Y49+'Э2 (СЗ)'!Y49+'Э3 (СЗ)'!Y49+'Э4 (СЗ)'!Y49</f>
        <v>0</v>
      </c>
      <c r="Z44" s="38">
        <f>'Э1 (СЗ)'!Z49+'Э2 (СЗ)'!Z49+'Э3 (СЗ)'!Z49+'Э4 (СЗ)'!Z49</f>
        <v>0</v>
      </c>
    </row>
    <row r="45" spans="1:26" hidden="1" outlineLevel="1" x14ac:dyDescent="0.2">
      <c r="A45" s="9" t="s">
        <v>7</v>
      </c>
      <c r="B45" s="4">
        <f>SUM(C45:Z45)</f>
        <v>756402.49827680772</v>
      </c>
      <c r="C45" s="38">
        <f t="shared" ref="C45:Z45" si="18">C43+C44</f>
        <v>0</v>
      </c>
      <c r="D45" s="38">
        <f t="shared" si="18"/>
        <v>0</v>
      </c>
      <c r="E45" s="38">
        <f t="shared" si="18"/>
        <v>0</v>
      </c>
      <c r="F45" s="38">
        <f t="shared" si="18"/>
        <v>-35870.327999999994</v>
      </c>
      <c r="G45" s="38">
        <f t="shared" si="18"/>
        <v>-35870.327999999994</v>
      </c>
      <c r="H45" s="38">
        <f t="shared" si="18"/>
        <v>-49271.539037692026</v>
      </c>
      <c r="I45" s="38">
        <f t="shared" si="18"/>
        <v>-49271.539037692026</v>
      </c>
      <c r="J45" s="38">
        <f t="shared" si="18"/>
        <v>-66705.208402637654</v>
      </c>
      <c r="K45" s="38">
        <f t="shared" si="18"/>
        <v>-25315.394967132073</v>
      </c>
      <c r="L45" s="38">
        <f t="shared" si="18"/>
        <v>-42989.852959953365</v>
      </c>
      <c r="M45" s="38">
        <f t="shared" si="18"/>
        <v>-36709.580848951591</v>
      </c>
      <c r="N45" s="38">
        <f t="shared" si="18"/>
        <v>-42506.654107706272</v>
      </c>
      <c r="O45" s="38">
        <f t="shared" si="18"/>
        <v>66647.253378803667</v>
      </c>
      <c r="P45" s="38">
        <f t="shared" si="18"/>
        <v>74348.06119689261</v>
      </c>
      <c r="Q45" s="38">
        <f t="shared" si="18"/>
        <v>184155.8292443399</v>
      </c>
      <c r="R45" s="38">
        <f t="shared" si="18"/>
        <v>193212.7103312299</v>
      </c>
      <c r="S45" s="38">
        <f t="shared" si="18"/>
        <v>200316.67991953299</v>
      </c>
      <c r="T45" s="38">
        <f t="shared" si="18"/>
        <v>211814.22059371864</v>
      </c>
      <c r="U45" s="38">
        <f t="shared" si="18"/>
        <v>102913.0437687423</v>
      </c>
      <c r="V45" s="38">
        <f t="shared" si="18"/>
        <v>107505.12520531272</v>
      </c>
      <c r="W45" s="38">
        <f t="shared" si="18"/>
        <v>0</v>
      </c>
      <c r="X45" s="38">
        <f t="shared" si="18"/>
        <v>0</v>
      </c>
      <c r="Y45" s="38">
        <f t="shared" si="18"/>
        <v>0</v>
      </c>
      <c r="Z45" s="38">
        <f t="shared" si="18"/>
        <v>0</v>
      </c>
    </row>
    <row r="46" spans="1:26" hidden="1" outlineLevel="1" x14ac:dyDescent="0.2">
      <c r="A46" s="9" t="s">
        <v>8</v>
      </c>
      <c r="B46" s="4"/>
      <c r="C46" s="38">
        <f t="shared" ref="C46:Z46" si="19">B46+C45</f>
        <v>0</v>
      </c>
      <c r="D46" s="38">
        <f t="shared" si="19"/>
        <v>0</v>
      </c>
      <c r="E46" s="38">
        <f t="shared" si="19"/>
        <v>0</v>
      </c>
      <c r="F46" s="38">
        <f t="shared" si="19"/>
        <v>-35870.327999999994</v>
      </c>
      <c r="G46" s="38">
        <f t="shared" si="19"/>
        <v>-71740.655999999988</v>
      </c>
      <c r="H46" s="38">
        <f t="shared" si="19"/>
        <v>-121012.19503769201</v>
      </c>
      <c r="I46" s="38">
        <f t="shared" si="19"/>
        <v>-170283.73407538404</v>
      </c>
      <c r="J46" s="38">
        <f t="shared" si="19"/>
        <v>-236988.94247802169</v>
      </c>
      <c r="K46" s="38">
        <f t="shared" si="19"/>
        <v>-262304.33744515374</v>
      </c>
      <c r="L46" s="38">
        <f t="shared" si="19"/>
        <v>-305294.1904051071</v>
      </c>
      <c r="M46" s="38">
        <f t="shared" si="19"/>
        <v>-342003.77125405869</v>
      </c>
      <c r="N46" s="38">
        <f t="shared" si="19"/>
        <v>-384510.42536176497</v>
      </c>
      <c r="O46" s="38">
        <f t="shared" si="19"/>
        <v>-317863.1719829613</v>
      </c>
      <c r="P46" s="38">
        <f t="shared" si="19"/>
        <v>-243515.11078606869</v>
      </c>
      <c r="Q46" s="38">
        <f t="shared" si="19"/>
        <v>-59359.281541728793</v>
      </c>
      <c r="R46" s="38">
        <f t="shared" si="19"/>
        <v>133853.42878950111</v>
      </c>
      <c r="S46" s="38">
        <f t="shared" si="19"/>
        <v>334170.1087090341</v>
      </c>
      <c r="T46" s="38">
        <f t="shared" si="19"/>
        <v>545984.32930275274</v>
      </c>
      <c r="U46" s="38">
        <f t="shared" si="19"/>
        <v>648897.37307149498</v>
      </c>
      <c r="V46" s="38">
        <f t="shared" si="19"/>
        <v>756402.49827680772</v>
      </c>
      <c r="W46" s="38">
        <f t="shared" si="19"/>
        <v>756402.49827680772</v>
      </c>
      <c r="X46" s="38">
        <f t="shared" si="19"/>
        <v>756402.49827680772</v>
      </c>
      <c r="Y46" s="38">
        <f t="shared" si="19"/>
        <v>756402.49827680772</v>
      </c>
      <c r="Z46" s="38">
        <f t="shared" si="19"/>
        <v>756402.49827680772</v>
      </c>
    </row>
    <row r="47" spans="1:26" hidden="1" outlineLevel="1" x14ac:dyDescent="0.2">
      <c r="A47" s="9" t="s">
        <v>9</v>
      </c>
      <c r="B47" s="4">
        <f>SUM(C47:Z47)</f>
        <v>935754.13827680785</v>
      </c>
      <c r="C47" s="38">
        <f>'Э1 (СЗ)'!C52+'Э2 (СЗ)'!C52+'Э3 (СЗ)'!C52+'Э4 (СЗ)'!C52</f>
        <v>0</v>
      </c>
      <c r="D47" s="38">
        <f>'Э1 (СЗ)'!D52+'Э2 (СЗ)'!D52+'Э3 (СЗ)'!D52+'Э4 (СЗ)'!D52</f>
        <v>0</v>
      </c>
      <c r="E47" s="38">
        <f>'Э1 (СЗ)'!E52+'Э2 (СЗ)'!E52+'Э3 (СЗ)'!E52+'Э4 (СЗ)'!E52</f>
        <v>0</v>
      </c>
      <c r="F47" s="38">
        <f>'Э1 (СЗ)'!F52+'Э2 (СЗ)'!F52+'Э3 (СЗ)'!F52+'Э4 (СЗ)'!F52</f>
        <v>0</v>
      </c>
      <c r="G47" s="38">
        <f>'Э1 (СЗ)'!G52+'Э2 (СЗ)'!G52+'Э3 (СЗ)'!G52+'Э4 (СЗ)'!G52</f>
        <v>0</v>
      </c>
      <c r="H47" s="38">
        <f>'Э1 (СЗ)'!H52+'Э2 (СЗ)'!H52+'Э3 (СЗ)'!H52+'Э4 (СЗ)'!H52</f>
        <v>0</v>
      </c>
      <c r="I47" s="38">
        <f>'Э1 (СЗ)'!I52+'Э2 (СЗ)'!I52+'Э3 (СЗ)'!I52+'Э4 (СЗ)'!I52</f>
        <v>0</v>
      </c>
      <c r="J47" s="38">
        <f>'Э1 (СЗ)'!J52+'Э2 (СЗ)'!J52+'Э3 (СЗ)'!J52+'Э4 (СЗ)'!J52</f>
        <v>0</v>
      </c>
      <c r="K47" s="38">
        <f>'Э1 (СЗ)'!K52+'Э2 (СЗ)'!K52+'Э3 (СЗ)'!K52+'Э4 (СЗ)'!K52</f>
        <v>0</v>
      </c>
      <c r="L47" s="38">
        <f>'Э1 (СЗ)'!L52+'Э2 (СЗ)'!L52+'Э3 (СЗ)'!L52+'Э4 (СЗ)'!L52</f>
        <v>0</v>
      </c>
      <c r="M47" s="38">
        <f>'Э1 (СЗ)'!M52+'Э2 (СЗ)'!M52+'Э3 (СЗ)'!M52+'Э4 (СЗ)'!M52</f>
        <v>0</v>
      </c>
      <c r="N47" s="38">
        <f>'Э1 (СЗ)'!N52+'Э2 (СЗ)'!N52+'Э3 (СЗ)'!N52+'Э4 (СЗ)'!N52</f>
        <v>0</v>
      </c>
      <c r="O47" s="38">
        <f>'Э1 (СЗ)'!O52+'Э2 (СЗ)'!O52+'Э3 (СЗ)'!O52+'Э4 (СЗ)'!O52</f>
        <v>6747.3445530174358</v>
      </c>
      <c r="P47" s="38">
        <f>'Э1 (СЗ)'!P52+'Э2 (СЗ)'!P52+'Э3 (СЗ)'!P52+'Э4 (СЗ)'!P52</f>
        <v>99766.209399849744</v>
      </c>
      <c r="Q47" s="38">
        <f>'Э1 (СЗ)'!Q52+'Э2 (СЗ)'!Q52+'Э3 (СЗ)'!Q52+'Э4 (СЗ)'!Q52</f>
        <v>107914.84860617171</v>
      </c>
      <c r="R47" s="38">
        <f>'Э1 (СЗ)'!R52+'Э2 (СЗ)'!R52+'Э3 (СЗ)'!R52+'Э4 (СЗ)'!R52</f>
        <v>207133.31792254071</v>
      </c>
      <c r="S47" s="38">
        <f>'Э1 (СЗ)'!S52+'Э2 (СЗ)'!S52+'Э3 (СЗ)'!S52+'Э4 (СЗ)'!S52</f>
        <v>105916.37951262339</v>
      </c>
      <c r="T47" s="38">
        <f>'Э1 (СЗ)'!T52+'Э2 (СЗ)'!T52+'Э3 (СЗ)'!T52+'Э4 (СЗ)'!T52</f>
        <v>197857.86930854974</v>
      </c>
      <c r="U47" s="38">
        <f>'Э1 (СЗ)'!U52+'Э2 (СЗ)'!U52+'Э3 (СЗ)'!U52+'Э4 (СЗ)'!U52</f>
        <v>102913.0437687423</v>
      </c>
      <c r="V47" s="38">
        <f>'Э1 (СЗ)'!V52+'Э2 (СЗ)'!V52+'Э3 (СЗ)'!V52+'Э4 (СЗ)'!V52</f>
        <v>107505.12520531272</v>
      </c>
      <c r="W47" s="38">
        <f>'Э1 (СЗ)'!W52+'Э2 (СЗ)'!W52+'Э3 (СЗ)'!W52+'Э4 (СЗ)'!W52</f>
        <v>0</v>
      </c>
      <c r="X47" s="38">
        <f>'Э1 (СЗ)'!X52+'Э2 (СЗ)'!X52+'Э3 (СЗ)'!X52+'Э4 (СЗ)'!X52</f>
        <v>0</v>
      </c>
      <c r="Y47" s="38">
        <f>'Э1 (СЗ)'!Y52+'Э2 (СЗ)'!Y52+'Э3 (СЗ)'!Y52+'Э4 (СЗ)'!Y52</f>
        <v>0</v>
      </c>
      <c r="Z47" s="38">
        <f>'Э1 (СЗ)'!Z52+'Э2 (СЗ)'!Z52+'Э3 (СЗ)'!Z52+'Э4 (СЗ)'!Z52</f>
        <v>0</v>
      </c>
    </row>
    <row r="48" spans="1:26" hidden="1" outlineLevel="1" x14ac:dyDescent="0.2">
      <c r="A48" s="9" t="s">
        <v>10</v>
      </c>
      <c r="B48" s="4">
        <f>SUM(C48:Z48)</f>
        <v>-187150.82765536156</v>
      </c>
      <c r="C48" s="38">
        <f>'Э1 (СЗ)'!C53+'Э2 (СЗ)'!C53+'Э3 (СЗ)'!C53+'Э4 (СЗ)'!C53</f>
        <v>0</v>
      </c>
      <c r="D48" s="38">
        <f>'Э1 (СЗ)'!D53+'Э2 (СЗ)'!D53+'Э3 (СЗ)'!D53+'Э4 (СЗ)'!D53</f>
        <v>0</v>
      </c>
      <c r="E48" s="38">
        <f>'Э1 (СЗ)'!E53+'Э2 (СЗ)'!E53+'Э3 (СЗ)'!E53+'Э4 (СЗ)'!E53</f>
        <v>0</v>
      </c>
      <c r="F48" s="38">
        <f>'Э1 (СЗ)'!F53+'Э2 (СЗ)'!F53+'Э3 (СЗ)'!F53+'Э4 (СЗ)'!F53</f>
        <v>0</v>
      </c>
      <c r="G48" s="38">
        <f>'Э1 (СЗ)'!G53+'Э2 (СЗ)'!G53+'Э3 (СЗ)'!G53+'Э4 (СЗ)'!G53</f>
        <v>0</v>
      </c>
      <c r="H48" s="38">
        <f>'Э1 (СЗ)'!H53+'Э2 (СЗ)'!H53+'Э3 (СЗ)'!H53+'Э4 (СЗ)'!H53</f>
        <v>0</v>
      </c>
      <c r="I48" s="38">
        <f>'Э1 (СЗ)'!I53+'Э2 (СЗ)'!I53+'Э3 (СЗ)'!I53+'Э4 (СЗ)'!I53</f>
        <v>0</v>
      </c>
      <c r="J48" s="38">
        <f>'Э1 (СЗ)'!J53+'Э2 (СЗ)'!J53+'Э3 (СЗ)'!J53+'Э4 (СЗ)'!J53</f>
        <v>0</v>
      </c>
      <c r="K48" s="38">
        <f>'Э1 (СЗ)'!K53+'Э2 (СЗ)'!K53+'Э3 (СЗ)'!K53+'Э4 (СЗ)'!K53</f>
        <v>0</v>
      </c>
      <c r="L48" s="38">
        <f>'Э1 (СЗ)'!L53+'Э2 (СЗ)'!L53+'Э3 (СЗ)'!L53+'Э4 (СЗ)'!L53</f>
        <v>0</v>
      </c>
      <c r="M48" s="38">
        <f>'Э1 (СЗ)'!M53+'Э2 (СЗ)'!M53+'Э3 (СЗ)'!M53+'Э4 (СЗ)'!M53</f>
        <v>0</v>
      </c>
      <c r="N48" s="38">
        <f>'Э1 (СЗ)'!N53+'Э2 (СЗ)'!N53+'Э3 (СЗ)'!N53+'Э4 (СЗ)'!N53</f>
        <v>0</v>
      </c>
      <c r="O48" s="38">
        <f>'Э1 (СЗ)'!O53+'Э2 (СЗ)'!O53+'Э3 (СЗ)'!O53+'Э4 (СЗ)'!O53</f>
        <v>-1349.4689106034873</v>
      </c>
      <c r="P48" s="38">
        <f>'Э1 (СЗ)'!P53+'Э2 (СЗ)'!P53+'Э3 (СЗ)'!P53+'Э4 (СЗ)'!P53</f>
        <v>-19953.241879969952</v>
      </c>
      <c r="Q48" s="38">
        <f>'Э1 (СЗ)'!Q53+'Э2 (СЗ)'!Q53+'Э3 (СЗ)'!Q53+'Э4 (СЗ)'!Q53</f>
        <v>-21582.969721234345</v>
      </c>
      <c r="R48" s="38">
        <f>'Э1 (СЗ)'!R53+'Э2 (СЗ)'!R53+'Э3 (СЗ)'!R53+'Э4 (СЗ)'!R53</f>
        <v>-41426.663584508147</v>
      </c>
      <c r="S48" s="38">
        <f>'Э1 (СЗ)'!S53+'Э2 (СЗ)'!S53+'Э3 (СЗ)'!S53+'Э4 (СЗ)'!S53</f>
        <v>-21183.275902524678</v>
      </c>
      <c r="T48" s="38">
        <f>'Э1 (СЗ)'!T53+'Э2 (СЗ)'!T53+'Э3 (СЗ)'!T53+'Э4 (СЗ)'!T53</f>
        <v>-39571.573861709941</v>
      </c>
      <c r="U48" s="38">
        <f>'Э1 (СЗ)'!U53+'Э2 (СЗ)'!U53+'Э3 (СЗ)'!U53+'Э4 (СЗ)'!U53</f>
        <v>-20582.60875374846</v>
      </c>
      <c r="V48" s="38">
        <f>'Э1 (СЗ)'!V53+'Э2 (СЗ)'!V53+'Э3 (СЗ)'!V53+'Э4 (СЗ)'!V53</f>
        <v>-21501.025041062545</v>
      </c>
      <c r="W48" s="38">
        <f>'Э1 (СЗ)'!W53+'Э2 (СЗ)'!W53+'Э3 (СЗ)'!W53+'Э4 (СЗ)'!W53</f>
        <v>0</v>
      </c>
      <c r="X48" s="38">
        <f>'Э1 (СЗ)'!X53+'Э2 (СЗ)'!X53+'Э3 (СЗ)'!X53+'Э4 (СЗ)'!X53</f>
        <v>0</v>
      </c>
      <c r="Y48" s="38">
        <f>'Э1 (СЗ)'!Y53+'Э2 (СЗ)'!Y53+'Э3 (СЗ)'!Y53+'Э4 (СЗ)'!Y53</f>
        <v>0</v>
      </c>
      <c r="Z48" s="38">
        <f>'Э1 (СЗ)'!Z53+'Э2 (СЗ)'!Z53+'Э3 (СЗ)'!Z53+'Э4 (СЗ)'!Z53</f>
        <v>0</v>
      </c>
    </row>
    <row r="49" spans="1:26" hidden="1" outlineLevel="1" x14ac:dyDescent="0.2">
      <c r="A49" s="9" t="s">
        <v>11</v>
      </c>
      <c r="B49" s="4">
        <f>SUM(C49:Z49)</f>
        <v>569251.67062144622</v>
      </c>
      <c r="C49" s="38">
        <f>'Э1 (СЗ)'!C54+'Э2 (СЗ)'!C54+'Э3 (СЗ)'!C54+'Э4 (СЗ)'!C54</f>
        <v>0</v>
      </c>
      <c r="D49" s="38">
        <f>'Э1 (СЗ)'!D54+'Э2 (СЗ)'!D54+'Э3 (СЗ)'!D54+'Э4 (СЗ)'!D54</f>
        <v>0</v>
      </c>
      <c r="E49" s="38">
        <f>'Э1 (СЗ)'!E54+'Э2 (СЗ)'!E54+'Э3 (СЗ)'!E54+'Э4 (СЗ)'!E54</f>
        <v>0</v>
      </c>
      <c r="F49" s="38">
        <f>'Э1 (СЗ)'!F54+'Э2 (СЗ)'!F54+'Э3 (СЗ)'!F54+'Э4 (СЗ)'!F54</f>
        <v>-35870.327999999994</v>
      </c>
      <c r="G49" s="38">
        <f>'Э1 (СЗ)'!G54+'Э2 (СЗ)'!G54+'Э3 (СЗ)'!G54+'Э4 (СЗ)'!G54</f>
        <v>-35870.327999999994</v>
      </c>
      <c r="H49" s="38">
        <f>'Э1 (СЗ)'!H54+'Э2 (СЗ)'!H54+'Э3 (СЗ)'!H54+'Э4 (СЗ)'!H54</f>
        <v>-49271.539037692026</v>
      </c>
      <c r="I49" s="38">
        <f>'Э1 (СЗ)'!I54+'Э2 (СЗ)'!I54+'Э3 (СЗ)'!I54+'Э4 (СЗ)'!I54</f>
        <v>-49271.539037692026</v>
      </c>
      <c r="J49" s="38">
        <f>'Э1 (СЗ)'!J54+'Э2 (СЗ)'!J54+'Э3 (СЗ)'!J54+'Э4 (СЗ)'!J54</f>
        <v>-66705.208402637654</v>
      </c>
      <c r="K49" s="38">
        <f>'Э1 (СЗ)'!K54+'Э2 (СЗ)'!K54+'Э3 (СЗ)'!K54+'Э4 (СЗ)'!K54</f>
        <v>-25315.394967132066</v>
      </c>
      <c r="L49" s="38">
        <f>'Э1 (СЗ)'!L54+'Э2 (СЗ)'!L54+'Э3 (СЗ)'!L54+'Э4 (СЗ)'!L54</f>
        <v>-42989.852959953336</v>
      </c>
      <c r="M49" s="38">
        <f>'Э1 (СЗ)'!M54+'Э2 (СЗ)'!M54+'Э3 (СЗ)'!M54+'Э4 (СЗ)'!M54</f>
        <v>-36709.580848951606</v>
      </c>
      <c r="N49" s="38">
        <f>'Э1 (СЗ)'!N54+'Э2 (СЗ)'!N54+'Э3 (СЗ)'!N54+'Э4 (СЗ)'!N54</f>
        <v>-42506.654107706257</v>
      </c>
      <c r="O49" s="38">
        <f>'Э1 (СЗ)'!O54+'Э2 (СЗ)'!O54+'Э3 (СЗ)'!O54+'Э4 (СЗ)'!O54</f>
        <v>65297.784468200189</v>
      </c>
      <c r="P49" s="38">
        <f>'Э1 (СЗ)'!P54+'Э2 (СЗ)'!P54+'Э3 (СЗ)'!P54+'Э4 (СЗ)'!P54</f>
        <v>54394.819316922672</v>
      </c>
      <c r="Q49" s="38">
        <f>'Э1 (СЗ)'!Q54+'Э2 (СЗ)'!Q54+'Э3 (СЗ)'!Q54+'Э4 (СЗ)'!Q54</f>
        <v>162572.85952310555</v>
      </c>
      <c r="R49" s="38">
        <f>'Э1 (СЗ)'!R54+'Э2 (СЗ)'!R54+'Э3 (СЗ)'!R54+'Э4 (СЗ)'!R54</f>
        <v>151786.04674672178</v>
      </c>
      <c r="S49" s="38">
        <f>'Э1 (СЗ)'!S54+'Э2 (СЗ)'!S54+'Э3 (СЗ)'!S54+'Э4 (СЗ)'!S54</f>
        <v>179133.40401700829</v>
      </c>
      <c r="T49" s="38">
        <f>'Э1 (СЗ)'!T54+'Э2 (СЗ)'!T54+'Э3 (СЗ)'!T54+'Э4 (СЗ)'!T54</f>
        <v>172242.64673200872</v>
      </c>
      <c r="U49" s="38">
        <f>'Э1 (СЗ)'!U54+'Э2 (СЗ)'!U54+'Э3 (СЗ)'!U54+'Э4 (СЗ)'!U54</f>
        <v>82330.43501499384</v>
      </c>
      <c r="V49" s="38">
        <f>'Э1 (СЗ)'!V54+'Э2 (СЗ)'!V54+'Э3 (СЗ)'!V54+'Э4 (СЗ)'!V54</f>
        <v>86004.10016425018</v>
      </c>
      <c r="W49" s="38">
        <f>'Э1 (СЗ)'!W54+'Э2 (СЗ)'!W54+'Э3 (СЗ)'!W54+'Э4 (СЗ)'!W54</f>
        <v>0</v>
      </c>
      <c r="X49" s="38">
        <f>'Э1 (СЗ)'!X54+'Э2 (СЗ)'!X54+'Э3 (СЗ)'!X54+'Э4 (СЗ)'!X54</f>
        <v>0</v>
      </c>
      <c r="Y49" s="38">
        <f>'Э1 (СЗ)'!Y54+'Э2 (СЗ)'!Y54+'Э3 (СЗ)'!Y54+'Э4 (СЗ)'!Y54</f>
        <v>0</v>
      </c>
      <c r="Z49" s="38">
        <f>'Э1 (СЗ)'!Z54+'Э2 (СЗ)'!Z54+'Э3 (СЗ)'!Z54+'Э4 (СЗ)'!Z54</f>
        <v>0</v>
      </c>
    </row>
    <row r="50" spans="1:26" hidden="1" outlineLevel="1" x14ac:dyDescent="0.2">
      <c r="A50" s="9" t="s">
        <v>8</v>
      </c>
      <c r="B50" s="4"/>
      <c r="C50" s="38">
        <f>'Э1 (СЗ)'!C55+'Э2 (СЗ)'!C55+'Э3 (СЗ)'!C55+'Э4 (СЗ)'!C55</f>
        <v>0</v>
      </c>
      <c r="D50" s="38">
        <f>'Э1 (СЗ)'!D55+'Э2 (СЗ)'!D55+'Э3 (СЗ)'!D55+'Э4 (СЗ)'!D55</f>
        <v>0</v>
      </c>
      <c r="E50" s="38">
        <f>'Э1 (СЗ)'!E55+'Э2 (СЗ)'!E55+'Э3 (СЗ)'!E55+'Э4 (СЗ)'!E55</f>
        <v>0</v>
      </c>
      <c r="F50" s="38">
        <f>'Э1 (СЗ)'!F55+'Э2 (СЗ)'!F55+'Э3 (СЗ)'!F55+'Э4 (СЗ)'!F55</f>
        <v>-35870.327999999994</v>
      </c>
      <c r="G50" s="38">
        <f>'Э1 (СЗ)'!G55+'Э2 (СЗ)'!G55+'Э3 (СЗ)'!G55+'Э4 (СЗ)'!G55</f>
        <v>-71740.655999999988</v>
      </c>
      <c r="H50" s="38">
        <f>'Э1 (СЗ)'!H55+'Э2 (СЗ)'!H55+'Э3 (СЗ)'!H55+'Э4 (СЗ)'!H55</f>
        <v>-121012.19503769201</v>
      </c>
      <c r="I50" s="38">
        <f>'Э1 (СЗ)'!I55+'Э2 (СЗ)'!I55+'Э3 (СЗ)'!I55+'Э4 (СЗ)'!I55</f>
        <v>-170283.73407538404</v>
      </c>
      <c r="J50" s="38">
        <f>'Э1 (СЗ)'!J55+'Э2 (СЗ)'!J55+'Э3 (СЗ)'!J55+'Э4 (СЗ)'!J55</f>
        <v>-236988.94247802169</v>
      </c>
      <c r="K50" s="38">
        <f>'Э1 (СЗ)'!K55+'Э2 (СЗ)'!K55+'Э3 (СЗ)'!K55+'Э4 (СЗ)'!K55</f>
        <v>-262304.33744515374</v>
      </c>
      <c r="L50" s="38">
        <f>'Э1 (СЗ)'!L55+'Э2 (СЗ)'!L55+'Э3 (СЗ)'!L55+'Э4 (СЗ)'!L55</f>
        <v>-305294.1904051071</v>
      </c>
      <c r="M50" s="38">
        <f>'Э1 (СЗ)'!M55+'Э2 (СЗ)'!M55+'Э3 (СЗ)'!M55+'Э4 (СЗ)'!M55</f>
        <v>-342003.77125405869</v>
      </c>
      <c r="N50" s="38">
        <f>'Э1 (СЗ)'!N55+'Э2 (СЗ)'!N55+'Э3 (СЗ)'!N55+'Э4 (СЗ)'!N55</f>
        <v>-384510.42536176497</v>
      </c>
      <c r="O50" s="38">
        <f>'Э1 (СЗ)'!O55+'Э2 (СЗ)'!O55+'Э3 (СЗ)'!O55+'Э4 (СЗ)'!O55</f>
        <v>-319212.64089356473</v>
      </c>
      <c r="P50" s="38">
        <f>'Э1 (СЗ)'!P55+'Э2 (СЗ)'!P55+'Э3 (СЗ)'!P55+'Э4 (СЗ)'!P55</f>
        <v>-264817.82157664211</v>
      </c>
      <c r="Q50" s="38">
        <f>'Э1 (СЗ)'!Q55+'Э2 (СЗ)'!Q55+'Э3 (СЗ)'!Q55+'Э4 (СЗ)'!Q55</f>
        <v>-102244.96205353654</v>
      </c>
      <c r="R50" s="38">
        <f>'Э1 (СЗ)'!R55+'Э2 (СЗ)'!R55+'Э3 (СЗ)'!R55+'Э4 (СЗ)'!R55</f>
        <v>49541.084693185228</v>
      </c>
      <c r="S50" s="38">
        <f>'Э1 (СЗ)'!S55+'Э2 (СЗ)'!S55+'Э3 (СЗ)'!S55+'Э4 (СЗ)'!S55</f>
        <v>228674.48871019352</v>
      </c>
      <c r="T50" s="38">
        <f>'Э1 (СЗ)'!T55+'Э2 (СЗ)'!T55+'Э3 (СЗ)'!T55+'Э4 (СЗ)'!T55</f>
        <v>400917.13544220221</v>
      </c>
      <c r="U50" s="38">
        <f>'Э1 (СЗ)'!U55+'Э2 (СЗ)'!U55+'Э3 (СЗ)'!U55+'Э4 (СЗ)'!U55</f>
        <v>483247.5704571961</v>
      </c>
      <c r="V50" s="38">
        <f>'Э1 (СЗ)'!V55+'Э2 (СЗ)'!V55+'Э3 (СЗ)'!V55+'Э4 (СЗ)'!V55</f>
        <v>569251.67062144622</v>
      </c>
      <c r="W50" s="38">
        <f>'Э1 (СЗ)'!W55+'Э2 (СЗ)'!W55+'Э3 (СЗ)'!W55+'Э4 (СЗ)'!W55</f>
        <v>569251.67062144622</v>
      </c>
      <c r="X50" s="38">
        <f>'Э1 (СЗ)'!X55+'Э2 (СЗ)'!X55+'Э3 (СЗ)'!X55+'Э4 (СЗ)'!X55</f>
        <v>569251.67062144622</v>
      </c>
      <c r="Y50" s="38">
        <f>'Э1 (СЗ)'!Y55+'Э2 (СЗ)'!Y55+'Э3 (СЗ)'!Y55+'Э4 (СЗ)'!Y55</f>
        <v>569251.67062144622</v>
      </c>
      <c r="Z50" s="38">
        <f>'Э1 (СЗ)'!Z55+'Э2 (СЗ)'!Z55+'Э3 (СЗ)'!Z55+'Э4 (СЗ)'!Z55</f>
        <v>569251.67062144622</v>
      </c>
    </row>
    <row r="51" spans="1:26" hidden="1" outlineLevel="2" x14ac:dyDescent="0.2">
      <c r="A51" s="21"/>
      <c r="B51" s="67">
        <f>B48/B47</f>
        <v>-0.19999999999999998</v>
      </c>
      <c r="C51" s="22"/>
      <c r="D51" s="22"/>
      <c r="E51" s="22"/>
      <c r="F51" s="22"/>
      <c r="G51" s="23"/>
      <c r="H51" s="23"/>
      <c r="I51" s="23"/>
      <c r="J51" s="24"/>
      <c r="K51" s="24"/>
      <c r="L51" s="24"/>
      <c r="M51" s="24"/>
      <c r="N51" s="24"/>
      <c r="O51" s="24"/>
      <c r="P51" s="24"/>
    </row>
    <row r="52" spans="1:26" collapsed="1" x14ac:dyDescent="0.2">
      <c r="B52" s="30"/>
      <c r="C52" s="8"/>
      <c r="D52" s="8"/>
      <c r="E52" s="8"/>
      <c r="F52" s="8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45" t="s">
        <v>105</v>
      </c>
      <c r="B53" s="46"/>
      <c r="C53" s="193">
        <f>C5</f>
        <v>2020</v>
      </c>
      <c r="D53" s="193"/>
      <c r="E53" s="193"/>
      <c r="F53" s="193"/>
      <c r="G53" s="193">
        <f>C53+1</f>
        <v>2021</v>
      </c>
      <c r="H53" s="193"/>
      <c r="I53" s="193"/>
      <c r="J53" s="193"/>
      <c r="K53" s="193">
        <f>G53+1</f>
        <v>2022</v>
      </c>
      <c r="L53" s="193"/>
      <c r="M53" s="193"/>
      <c r="N53" s="193"/>
      <c r="O53" s="193">
        <f>K53+1</f>
        <v>2023</v>
      </c>
      <c r="P53" s="193"/>
      <c r="Q53" s="193"/>
      <c r="R53" s="193"/>
      <c r="S53" s="193">
        <f>O53+1</f>
        <v>2024</v>
      </c>
      <c r="T53" s="193"/>
      <c r="U53" s="193"/>
      <c r="V53" s="193"/>
      <c r="W53" s="193">
        <f>S53+1</f>
        <v>2025</v>
      </c>
      <c r="X53" s="193"/>
      <c r="Y53" s="193"/>
      <c r="Z53" s="193"/>
    </row>
    <row r="54" spans="1:26" x14ac:dyDescent="0.2">
      <c r="A54" s="47"/>
      <c r="B54" s="46"/>
      <c r="C54" s="46" t="s">
        <v>15</v>
      </c>
      <c r="D54" s="46" t="s">
        <v>16</v>
      </c>
      <c r="E54" s="46" t="s">
        <v>17</v>
      </c>
      <c r="F54" s="46" t="s">
        <v>18</v>
      </c>
      <c r="G54" s="46" t="s">
        <v>15</v>
      </c>
      <c r="H54" s="46" t="s">
        <v>16</v>
      </c>
      <c r="I54" s="46" t="s">
        <v>17</v>
      </c>
      <c r="J54" s="46" t="s">
        <v>18</v>
      </c>
      <c r="K54" s="46" t="s">
        <v>15</v>
      </c>
      <c r="L54" s="46" t="s">
        <v>16</v>
      </c>
      <c r="M54" s="46" t="s">
        <v>17</v>
      </c>
      <c r="N54" s="46" t="s">
        <v>18</v>
      </c>
      <c r="O54" s="46" t="s">
        <v>15</v>
      </c>
      <c r="P54" s="46" t="s">
        <v>16</v>
      </c>
      <c r="Q54" s="46" t="s">
        <v>17</v>
      </c>
      <c r="R54" s="46" t="s">
        <v>18</v>
      </c>
      <c r="S54" s="46" t="s">
        <v>15</v>
      </c>
      <c r="T54" s="46" t="s">
        <v>16</v>
      </c>
      <c r="U54" s="46" t="s">
        <v>17</v>
      </c>
      <c r="V54" s="46" t="s">
        <v>18</v>
      </c>
      <c r="W54" s="46" t="s">
        <v>15</v>
      </c>
      <c r="X54" s="46" t="s">
        <v>16</v>
      </c>
      <c r="Y54" s="46" t="s">
        <v>17</v>
      </c>
      <c r="Z54" s="46" t="s">
        <v>18</v>
      </c>
    </row>
    <row r="55" spans="1:26" s="44" customFormat="1" x14ac:dyDescent="0.2">
      <c r="A55" s="43" t="s">
        <v>12</v>
      </c>
      <c r="B55" s="48">
        <f>SUM(C55:Z55)</f>
        <v>795122.57812794822</v>
      </c>
      <c r="C55" s="49">
        <f t="shared" ref="C55" si="20">SUM(C56:C59)</f>
        <v>0</v>
      </c>
      <c r="D55" s="49">
        <f>SUM(D56:D59)</f>
        <v>0</v>
      </c>
      <c r="E55" s="49">
        <f t="shared" ref="E55:V55" si="21">SUM(E56:E59)</f>
        <v>0</v>
      </c>
      <c r="F55" s="49">
        <f t="shared" si="21"/>
        <v>0</v>
      </c>
      <c r="G55" s="49">
        <f t="shared" si="21"/>
        <v>0</v>
      </c>
      <c r="H55" s="49">
        <f t="shared" si="21"/>
        <v>0</v>
      </c>
      <c r="I55" s="49">
        <f t="shared" si="21"/>
        <v>0</v>
      </c>
      <c r="J55" s="49">
        <f t="shared" si="21"/>
        <v>0</v>
      </c>
      <c r="K55" s="49">
        <f t="shared" si="21"/>
        <v>0</v>
      </c>
      <c r="L55" s="49">
        <f t="shared" si="21"/>
        <v>0</v>
      </c>
      <c r="M55" s="49">
        <f t="shared" si="21"/>
        <v>0</v>
      </c>
      <c r="N55" s="49">
        <f t="shared" si="21"/>
        <v>0</v>
      </c>
      <c r="O55" s="49">
        <f t="shared" si="21"/>
        <v>32200.297717797985</v>
      </c>
      <c r="P55" s="49">
        <f t="shared" si="21"/>
        <v>82310.848683942313</v>
      </c>
      <c r="Q55" s="49">
        <f t="shared" si="21"/>
        <v>98409.940501996505</v>
      </c>
      <c r="R55" s="49">
        <f t="shared" si="21"/>
        <v>166192.44968061059</v>
      </c>
      <c r="S55" s="49">
        <f t="shared" si="21"/>
        <v>82614.776019846249</v>
      </c>
      <c r="T55" s="49">
        <f t="shared" si="21"/>
        <v>166324.82469498823</v>
      </c>
      <c r="U55" s="49">
        <f t="shared" si="21"/>
        <v>83215.443168622471</v>
      </c>
      <c r="V55" s="49">
        <f t="shared" si="21"/>
        <v>83853.997660143927</v>
      </c>
      <c r="W55" s="49">
        <f>SUM(W56:W59)</f>
        <v>0</v>
      </c>
      <c r="X55" s="49">
        <f>SUM(X56:X59)</f>
        <v>0</v>
      </c>
      <c r="Y55" s="49">
        <f>SUM(Y56:Y59)</f>
        <v>0</v>
      </c>
      <c r="Z55" s="49">
        <f>SUM(Z56:Z59)</f>
        <v>0</v>
      </c>
    </row>
    <row r="56" spans="1:26" x14ac:dyDescent="0.2">
      <c r="A56" s="9" t="s">
        <v>33</v>
      </c>
      <c r="B56" s="4">
        <f t="shared" ref="B56:B64" si="22">SUM(C56:Z56)</f>
        <v>745871.47220768279</v>
      </c>
      <c r="C56" s="38">
        <f t="shared" ref="C56:O56" si="23">-C38</f>
        <v>0</v>
      </c>
      <c r="D56" s="38">
        <f t="shared" si="23"/>
        <v>0</v>
      </c>
      <c r="E56" s="38">
        <f t="shared" si="23"/>
        <v>0</v>
      </c>
      <c r="F56" s="38">
        <f t="shared" si="23"/>
        <v>0</v>
      </c>
      <c r="G56" s="38">
        <f t="shared" si="23"/>
        <v>0</v>
      </c>
      <c r="H56" s="38">
        <f t="shared" si="23"/>
        <v>0</v>
      </c>
      <c r="I56" s="38">
        <f t="shared" si="23"/>
        <v>0</v>
      </c>
      <c r="J56" s="38">
        <f t="shared" si="23"/>
        <v>0</v>
      </c>
      <c r="K56" s="38">
        <f t="shared" si="23"/>
        <v>0</v>
      </c>
      <c r="L56" s="38">
        <f t="shared" si="23"/>
        <v>0</v>
      </c>
      <c r="M56" s="38">
        <f t="shared" si="23"/>
        <v>0</v>
      </c>
      <c r="N56" s="38">
        <f t="shared" si="23"/>
        <v>0</v>
      </c>
      <c r="O56" s="38">
        <f t="shared" si="23"/>
        <v>32200.297717797985</v>
      </c>
      <c r="P56" s="38">
        <f>-P38</f>
        <v>66490.934644879802</v>
      </c>
      <c r="Q56" s="38">
        <f>-Q38</f>
        <v>98409.940501996505</v>
      </c>
      <c r="R56" s="38">
        <f>-R38</f>
        <v>149897.93822037621</v>
      </c>
      <c r="S56" s="38">
        <f t="shared" ref="S56:Z56" si="24">-S38</f>
        <v>82614.776019846249</v>
      </c>
      <c r="T56" s="38">
        <f t="shared" si="24"/>
        <v>166324.82469498823</v>
      </c>
      <c r="U56" s="38">
        <f t="shared" si="24"/>
        <v>66078.762747653876</v>
      </c>
      <c r="V56" s="38">
        <f t="shared" si="24"/>
        <v>83853.997660143927</v>
      </c>
      <c r="W56" s="38">
        <f t="shared" si="24"/>
        <v>0</v>
      </c>
      <c r="X56" s="38">
        <f t="shared" si="24"/>
        <v>0</v>
      </c>
      <c r="Y56" s="38">
        <f t="shared" si="24"/>
        <v>0</v>
      </c>
      <c r="Z56" s="38">
        <f t="shared" si="24"/>
        <v>0</v>
      </c>
    </row>
    <row r="57" spans="1:26" x14ac:dyDescent="0.2">
      <c r="A57" s="9" t="s">
        <v>40</v>
      </c>
      <c r="B57" s="4">
        <f t="shared" si="22"/>
        <v>0</v>
      </c>
      <c r="C57" s="38">
        <f>B73*ИДиР!$B$22/4</f>
        <v>0</v>
      </c>
      <c r="D57" s="38">
        <f>C73*ИДиР!$B$22/4</f>
        <v>0</v>
      </c>
      <c r="E57" s="38">
        <f>D73*ИДиР!$B$22/4</f>
        <v>0</v>
      </c>
      <c r="F57" s="38">
        <f>E73*ИДиР!$B$22/4</f>
        <v>0</v>
      </c>
      <c r="G57" s="38">
        <f>F73*ИДиР!$B$22/4</f>
        <v>0</v>
      </c>
      <c r="H57" s="38">
        <f>G73*ИДиР!$B$22/4</f>
        <v>0</v>
      </c>
      <c r="I57" s="38">
        <f>H73*ИДиР!$B$22/4</f>
        <v>0</v>
      </c>
      <c r="J57" s="38">
        <f>I73*ИДиР!$B$22/4</f>
        <v>0</v>
      </c>
      <c r="K57" s="38">
        <f>J73*ИДиР!$B$22/4</f>
        <v>0</v>
      </c>
      <c r="L57" s="38">
        <f>K73*ИДиР!$B$22/4</f>
        <v>0</v>
      </c>
      <c r="M57" s="38">
        <f>L73*ИДиР!$B$22/4</f>
        <v>0</v>
      </c>
      <c r="N57" s="38">
        <f>M73*ИДиР!$B$22/4</f>
        <v>0</v>
      </c>
      <c r="O57" s="38">
        <f>N73*ИДиР!$B$22/4</f>
        <v>0</v>
      </c>
      <c r="P57" s="38">
        <f>O73*ИДиР!$B$22/4</f>
        <v>0</v>
      </c>
      <c r="Q57" s="38">
        <f>P73*ИДиР!$B$22/4</f>
        <v>0</v>
      </c>
      <c r="R57" s="38">
        <f>Q73*ИДиР!$B$22/4</f>
        <v>0</v>
      </c>
      <c r="S57" s="38"/>
      <c r="T57" s="38"/>
      <c r="U57" s="38"/>
      <c r="V57" s="38"/>
      <c r="W57" s="38"/>
      <c r="X57" s="38"/>
      <c r="Y57" s="38"/>
      <c r="Z57" s="38"/>
    </row>
    <row r="58" spans="1:26" x14ac:dyDescent="0.2">
      <c r="A58" s="9" t="s">
        <v>34</v>
      </c>
      <c r="B58" s="4">
        <f t="shared" si="22"/>
        <v>41177.071413337508</v>
      </c>
      <c r="C58" s="38">
        <f t="shared" ref="C58:Z58" si="25">-C21</f>
        <v>0</v>
      </c>
      <c r="D58" s="38">
        <f t="shared" si="25"/>
        <v>0</v>
      </c>
      <c r="E58" s="38">
        <f t="shared" si="25"/>
        <v>0</v>
      </c>
      <c r="F58" s="38">
        <f t="shared" si="25"/>
        <v>0</v>
      </c>
      <c r="G58" s="38">
        <f t="shared" si="25"/>
        <v>0</v>
      </c>
      <c r="H58" s="38">
        <f t="shared" si="25"/>
        <v>0</v>
      </c>
      <c r="I58" s="38">
        <f t="shared" si="25"/>
        <v>0</v>
      </c>
      <c r="J58" s="38">
        <f t="shared" si="25"/>
        <v>0</v>
      </c>
      <c r="K58" s="38">
        <f t="shared" si="25"/>
        <v>0</v>
      </c>
      <c r="L58" s="38">
        <f t="shared" si="25"/>
        <v>0</v>
      </c>
      <c r="M58" s="38">
        <f t="shared" si="25"/>
        <v>0</v>
      </c>
      <c r="N58" s="38">
        <f t="shared" si="25"/>
        <v>0</v>
      </c>
      <c r="O58" s="38">
        <f t="shared" si="25"/>
        <v>0</v>
      </c>
      <c r="P58" s="38">
        <f t="shared" si="25"/>
        <v>13322.032875000003</v>
      </c>
      <c r="Q58" s="38">
        <f t="shared" si="25"/>
        <v>0</v>
      </c>
      <c r="R58" s="38">
        <f t="shared" si="25"/>
        <v>13721.693861250002</v>
      </c>
      <c r="S58" s="38">
        <f t="shared" si="25"/>
        <v>0</v>
      </c>
      <c r="T58" s="38">
        <f t="shared" si="25"/>
        <v>0</v>
      </c>
      <c r="U58" s="38">
        <f t="shared" si="25"/>
        <v>14133.3446770875</v>
      </c>
      <c r="V58" s="38">
        <f t="shared" si="25"/>
        <v>0</v>
      </c>
      <c r="W58" s="38">
        <f t="shared" si="25"/>
        <v>0</v>
      </c>
      <c r="X58" s="38">
        <f t="shared" si="25"/>
        <v>0</v>
      </c>
      <c r="Y58" s="38">
        <f t="shared" si="25"/>
        <v>0</v>
      </c>
      <c r="Z58" s="38">
        <f t="shared" si="25"/>
        <v>0</v>
      </c>
    </row>
    <row r="59" spans="1:26" x14ac:dyDescent="0.2">
      <c r="A59" s="9" t="s">
        <v>35</v>
      </c>
      <c r="B59" s="4">
        <f t="shared" si="22"/>
        <v>8074.034506927972</v>
      </c>
      <c r="C59" s="38">
        <f t="shared" ref="C59:Z59" si="26">-C22</f>
        <v>0</v>
      </c>
      <c r="D59" s="38">
        <f t="shared" si="26"/>
        <v>0</v>
      </c>
      <c r="E59" s="38">
        <f t="shared" si="26"/>
        <v>0</v>
      </c>
      <c r="F59" s="38">
        <f t="shared" si="26"/>
        <v>0</v>
      </c>
      <c r="G59" s="38">
        <f t="shared" si="26"/>
        <v>0</v>
      </c>
      <c r="H59" s="38">
        <f t="shared" si="26"/>
        <v>0</v>
      </c>
      <c r="I59" s="38">
        <f t="shared" si="26"/>
        <v>0</v>
      </c>
      <c r="J59" s="38">
        <f t="shared" si="26"/>
        <v>0</v>
      </c>
      <c r="K59" s="38">
        <f t="shared" si="26"/>
        <v>0</v>
      </c>
      <c r="L59" s="38">
        <f t="shared" si="26"/>
        <v>0</v>
      </c>
      <c r="M59" s="38">
        <f t="shared" si="26"/>
        <v>0</v>
      </c>
      <c r="N59" s="38">
        <f t="shared" si="26"/>
        <v>0</v>
      </c>
      <c r="O59" s="38">
        <f t="shared" si="26"/>
        <v>0</v>
      </c>
      <c r="P59" s="38">
        <f t="shared" si="26"/>
        <v>2497.8811640625008</v>
      </c>
      <c r="Q59" s="38">
        <f t="shared" si="26"/>
        <v>0</v>
      </c>
      <c r="R59" s="38">
        <f t="shared" si="26"/>
        <v>2572.8175989843762</v>
      </c>
      <c r="S59" s="38">
        <f t="shared" si="26"/>
        <v>0</v>
      </c>
      <c r="T59" s="38">
        <f t="shared" si="26"/>
        <v>0</v>
      </c>
      <c r="U59" s="38">
        <f t="shared" si="26"/>
        <v>3003.335743881094</v>
      </c>
      <c r="V59" s="38">
        <f t="shared" si="26"/>
        <v>0</v>
      </c>
      <c r="W59" s="38">
        <f t="shared" si="26"/>
        <v>0</v>
      </c>
      <c r="X59" s="38">
        <f t="shared" si="26"/>
        <v>0</v>
      </c>
      <c r="Y59" s="38">
        <f t="shared" si="26"/>
        <v>0</v>
      </c>
      <c r="Z59" s="38">
        <f t="shared" si="26"/>
        <v>0</v>
      </c>
    </row>
    <row r="60" spans="1:26" s="44" customFormat="1" x14ac:dyDescent="0.2">
      <c r="A60" s="43" t="s">
        <v>13</v>
      </c>
      <c r="B60" s="48">
        <f t="shared" si="22"/>
        <v>-320408.18289657892</v>
      </c>
      <c r="C60" s="49">
        <f t="shared" ref="C60:Z60" si="27">SUM(C61:C64)</f>
        <v>0</v>
      </c>
      <c r="D60" s="49">
        <f t="shared" si="27"/>
        <v>0</v>
      </c>
      <c r="E60" s="49">
        <f>SUM(E61:E64)</f>
        <v>0</v>
      </c>
      <c r="F60" s="49">
        <f t="shared" si="27"/>
        <v>-35870.327999999994</v>
      </c>
      <c r="G60" s="49">
        <f t="shared" si="27"/>
        <v>-36767.086199999991</v>
      </c>
      <c r="H60" s="49">
        <f t="shared" si="27"/>
        <v>-51087.474392692027</v>
      </c>
      <c r="I60" s="49">
        <f t="shared" si="27"/>
        <v>-52364.661252509322</v>
      </c>
      <c r="J60" s="49">
        <f t="shared" si="27"/>
        <v>-54089.425209522051</v>
      </c>
      <c r="K60" s="49">
        <f t="shared" si="27"/>
        <v>-19571.332839760111</v>
      </c>
      <c r="L60" s="49">
        <f t="shared" si="27"/>
        <v>-20488.733009225114</v>
      </c>
      <c r="M60" s="49">
        <f t="shared" si="27"/>
        <v>-21000.951334455742</v>
      </c>
      <c r="N60" s="49">
        <f t="shared" si="27"/>
        <v>-7280.9998059541094</v>
      </c>
      <c r="O60" s="49">
        <f t="shared" si="27"/>
        <v>-7463.0248011029616</v>
      </c>
      <c r="P60" s="49">
        <f t="shared" si="27"/>
        <v>-6844.5929781855857</v>
      </c>
      <c r="Q60" s="49">
        <f t="shared" si="27"/>
        <v>-4957.9365855416681</v>
      </c>
      <c r="R60" s="49">
        <f t="shared" si="27"/>
        <v>-2621.6364876302969</v>
      </c>
      <c r="S60" s="49">
        <f t="shared" si="27"/>
        <v>0</v>
      </c>
      <c r="T60" s="49">
        <f t="shared" si="27"/>
        <v>0</v>
      </c>
      <c r="U60" s="49">
        <f t="shared" si="27"/>
        <v>0</v>
      </c>
      <c r="V60" s="49">
        <f t="shared" si="27"/>
        <v>0</v>
      </c>
      <c r="W60" s="49">
        <f t="shared" si="27"/>
        <v>0</v>
      </c>
      <c r="X60" s="49">
        <f t="shared" si="27"/>
        <v>0</v>
      </c>
      <c r="Y60" s="49">
        <f t="shared" si="27"/>
        <v>0</v>
      </c>
      <c r="Z60" s="49">
        <f t="shared" si="27"/>
        <v>0</v>
      </c>
    </row>
    <row r="61" spans="1:26" x14ac:dyDescent="0.2">
      <c r="A61" s="9" t="s">
        <v>81</v>
      </c>
      <c r="B61" s="4">
        <f t="shared" si="22"/>
        <v>-221100.65821255665</v>
      </c>
      <c r="C61" s="38">
        <f t="shared" ref="C61:Z61" si="28">-C14</f>
        <v>0</v>
      </c>
      <c r="D61" s="38">
        <f t="shared" si="28"/>
        <v>0</v>
      </c>
      <c r="E61" s="38">
        <f t="shared" si="28"/>
        <v>0</v>
      </c>
      <c r="F61" s="38">
        <f t="shared" si="28"/>
        <v>-35870.327999999994</v>
      </c>
      <c r="G61" s="38">
        <f t="shared" si="28"/>
        <v>-35870.327999999994</v>
      </c>
      <c r="H61" s="38">
        <f t="shared" si="28"/>
        <v>-42610.522600192024</v>
      </c>
      <c r="I61" s="38">
        <f t="shared" si="28"/>
        <v>-42610.522600192024</v>
      </c>
      <c r="J61" s="38">
        <f t="shared" si="28"/>
        <v>-42826.339532767022</v>
      </c>
      <c r="K61" s="38">
        <f t="shared" si="28"/>
        <v>-6956.0115327670264</v>
      </c>
      <c r="L61" s="38">
        <f t="shared" si="28"/>
        <v>-7178.3029733192752</v>
      </c>
      <c r="M61" s="38">
        <f t="shared" si="28"/>
        <v>-7178.3029733192752</v>
      </c>
      <c r="N61" s="38">
        <f t="shared" si="28"/>
        <v>0</v>
      </c>
      <c r="O61" s="38">
        <f t="shared" si="28"/>
        <v>0</v>
      </c>
      <c r="P61" s="38">
        <f t="shared" si="28"/>
        <v>0</v>
      </c>
      <c r="Q61" s="38">
        <f t="shared" si="28"/>
        <v>0</v>
      </c>
      <c r="R61" s="38">
        <f t="shared" si="28"/>
        <v>0</v>
      </c>
      <c r="S61" s="38">
        <f t="shared" si="28"/>
        <v>0</v>
      </c>
      <c r="T61" s="38">
        <f t="shared" si="28"/>
        <v>0</v>
      </c>
      <c r="U61" s="38">
        <f t="shared" si="28"/>
        <v>0</v>
      </c>
      <c r="V61" s="38">
        <f t="shared" si="28"/>
        <v>0</v>
      </c>
      <c r="W61" s="38">
        <f t="shared" si="28"/>
        <v>0</v>
      </c>
      <c r="X61" s="38">
        <f t="shared" si="28"/>
        <v>0</v>
      </c>
      <c r="Y61" s="38">
        <f t="shared" si="28"/>
        <v>0</v>
      </c>
      <c r="Z61" s="38">
        <f t="shared" si="28"/>
        <v>0</v>
      </c>
    </row>
    <row r="62" spans="1:26" x14ac:dyDescent="0.2">
      <c r="A62" s="9" t="s">
        <v>36</v>
      </c>
      <c r="B62" s="4">
        <f t="shared" si="22"/>
        <v>-41177.0714133375</v>
      </c>
      <c r="C62" s="38">
        <f t="shared" ref="C62:Z62" si="29">-C15</f>
        <v>0</v>
      </c>
      <c r="D62" s="38">
        <f t="shared" si="29"/>
        <v>0</v>
      </c>
      <c r="E62" s="38">
        <f t="shared" si="29"/>
        <v>0</v>
      </c>
      <c r="F62" s="38">
        <f t="shared" si="29"/>
        <v>0</v>
      </c>
      <c r="G62" s="38">
        <f t="shared" si="29"/>
        <v>0</v>
      </c>
      <c r="H62" s="38">
        <f t="shared" si="29"/>
        <v>-6661.0164375000013</v>
      </c>
      <c r="I62" s="38">
        <f t="shared" si="29"/>
        <v>-6661.0164375000013</v>
      </c>
      <c r="J62" s="38">
        <f t="shared" si="29"/>
        <v>-6860.8469306250008</v>
      </c>
      <c r="K62" s="38">
        <f t="shared" si="29"/>
        <v>-6860.8469306250008</v>
      </c>
      <c r="L62" s="38">
        <f t="shared" si="29"/>
        <v>-7066.6723385437499</v>
      </c>
      <c r="M62" s="38">
        <f t="shared" si="29"/>
        <v>-7066.6723385437499</v>
      </c>
      <c r="N62" s="38">
        <f t="shared" si="29"/>
        <v>0</v>
      </c>
      <c r="O62" s="38">
        <f t="shared" si="29"/>
        <v>0</v>
      </c>
      <c r="P62" s="38">
        <f t="shared" si="29"/>
        <v>0</v>
      </c>
      <c r="Q62" s="38">
        <f t="shared" si="29"/>
        <v>0</v>
      </c>
      <c r="R62" s="38">
        <f t="shared" si="29"/>
        <v>0</v>
      </c>
      <c r="S62" s="38">
        <f t="shared" si="29"/>
        <v>0</v>
      </c>
      <c r="T62" s="38">
        <f t="shared" si="29"/>
        <v>0</v>
      </c>
      <c r="U62" s="38">
        <f t="shared" si="29"/>
        <v>0</v>
      </c>
      <c r="V62" s="38">
        <f t="shared" si="29"/>
        <v>0</v>
      </c>
      <c r="W62" s="38">
        <f t="shared" si="29"/>
        <v>0</v>
      </c>
      <c r="X62" s="38">
        <f t="shared" si="29"/>
        <v>0</v>
      </c>
      <c r="Y62" s="38">
        <f t="shared" si="29"/>
        <v>0</v>
      </c>
      <c r="Z62" s="38">
        <f t="shared" si="29"/>
        <v>0</v>
      </c>
    </row>
    <row r="63" spans="1:26" x14ac:dyDescent="0.2">
      <c r="A63" s="9" t="s">
        <v>46</v>
      </c>
      <c r="B63" s="4">
        <f t="shared" si="22"/>
        <v>-58130.453270684848</v>
      </c>
      <c r="C63" s="38">
        <f>-B68*ИДиР!$B$18/4</f>
        <v>0</v>
      </c>
      <c r="D63" s="38">
        <f>-C68*ИДиР!$B$18/4</f>
        <v>0</v>
      </c>
      <c r="E63" s="38">
        <f>-D68*ИДиР!$B$18/4</f>
        <v>0</v>
      </c>
      <c r="F63" s="38">
        <f>-E68*ИДиР!$B$18/4</f>
        <v>0</v>
      </c>
      <c r="G63" s="38">
        <f>-F68*ИДиР!$B$18/4</f>
        <v>-896.75819999999987</v>
      </c>
      <c r="H63" s="38">
        <f>-G68*ИДиР!$B$18/4</f>
        <v>-1815.9353549999996</v>
      </c>
      <c r="I63" s="38">
        <f>-H68*ИДиР!$B$18/4</f>
        <v>-3093.1222148173001</v>
      </c>
      <c r="J63" s="38">
        <f>-I68*ИДиР!$B$18/4</f>
        <v>-4402.2387461300332</v>
      </c>
      <c r="K63" s="38">
        <f>-J68*ИДиР!$B$18/4</f>
        <v>-5754.4743763680844</v>
      </c>
      <c r="L63" s="38">
        <f>-K68*ИДиР!$B$18/4</f>
        <v>-6243.7576973620871</v>
      </c>
      <c r="M63" s="38">
        <f>-L68*ИДиР!$B$18/4</f>
        <v>-6755.9760225927157</v>
      </c>
      <c r="N63" s="38">
        <f>-M68*ИДиР!$B$18/4</f>
        <v>-7280.9998059541094</v>
      </c>
      <c r="O63" s="38">
        <f>-N68*ИДиР!$B$18/4</f>
        <v>-7463.0248011029616</v>
      </c>
      <c r="P63" s="38">
        <f>-O68*ИДиР!$B$18/4</f>
        <v>-6844.5929781855857</v>
      </c>
      <c r="Q63" s="38">
        <f>-P68*ИДиР!$B$18/4</f>
        <v>-4957.9365855416681</v>
      </c>
      <c r="R63" s="38">
        <f>-Q68*ИДиР!$B$18/4</f>
        <v>-2621.6364876302969</v>
      </c>
      <c r="S63" s="38">
        <f>-R68*ИДиР!$B$18/4</f>
        <v>0</v>
      </c>
      <c r="T63" s="38">
        <f>-S68*ИДиР!$B$18/4</f>
        <v>0</v>
      </c>
      <c r="U63" s="38">
        <f>-T68*ИДиР!$B$18/4</f>
        <v>0</v>
      </c>
      <c r="V63" s="38">
        <f>-U68*ИДиР!$B$18/4</f>
        <v>0</v>
      </c>
      <c r="W63" s="38">
        <f>-V68*ИДиР!$B$18/4</f>
        <v>0</v>
      </c>
      <c r="X63" s="38">
        <f>-W68*ИДиР!$B$18/4</f>
        <v>0</v>
      </c>
      <c r="Y63" s="38">
        <f>-X68*ИДиР!$B$18/4</f>
        <v>0</v>
      </c>
      <c r="Z63" s="38">
        <f>-Y68*ИДиР!$B$18/4</f>
        <v>0</v>
      </c>
    </row>
    <row r="64" spans="1:26" s="80" customFormat="1" ht="25.5" x14ac:dyDescent="0.2">
      <c r="A64" s="133" t="s">
        <v>120</v>
      </c>
      <c r="B64" s="119">
        <f t="shared" si="22"/>
        <v>0</v>
      </c>
      <c r="C64" s="120">
        <f>C96</f>
        <v>0</v>
      </c>
      <c r="D64" s="120">
        <f>D96</f>
        <v>0</v>
      </c>
      <c r="E64" s="120">
        <v>0</v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s="44" customFormat="1" x14ac:dyDescent="0.2">
      <c r="A65" s="43" t="s">
        <v>41</v>
      </c>
      <c r="B65" s="48"/>
      <c r="C65" s="49">
        <f t="shared" ref="C65:Z65" si="30">B73+C55+C60</f>
        <v>0</v>
      </c>
      <c r="D65" s="49">
        <f t="shared" si="30"/>
        <v>0</v>
      </c>
      <c r="E65" s="49">
        <f t="shared" si="30"/>
        <v>0</v>
      </c>
      <c r="F65" s="49">
        <f t="shared" si="30"/>
        <v>-35870.327999999994</v>
      </c>
      <c r="G65" s="49">
        <f t="shared" si="30"/>
        <v>-36767.086199999991</v>
      </c>
      <c r="H65" s="49">
        <f t="shared" si="30"/>
        <v>-51087.474392692027</v>
      </c>
      <c r="I65" s="49">
        <f t="shared" si="30"/>
        <v>-52364.661252509322</v>
      </c>
      <c r="J65" s="49">
        <f t="shared" si="30"/>
        <v>-54089.425209522051</v>
      </c>
      <c r="K65" s="49">
        <f t="shared" si="30"/>
        <v>-19571.332839760111</v>
      </c>
      <c r="L65" s="49">
        <f t="shared" si="30"/>
        <v>-20488.733009225114</v>
      </c>
      <c r="M65" s="49">
        <f t="shared" si="30"/>
        <v>-21000.951334455742</v>
      </c>
      <c r="N65" s="49">
        <f t="shared" si="30"/>
        <v>-7280.9998059541094</v>
      </c>
      <c r="O65" s="49">
        <f t="shared" si="30"/>
        <v>24737.272916695023</v>
      </c>
      <c r="P65" s="49">
        <f t="shared" si="30"/>
        <v>75466.255705756732</v>
      </c>
      <c r="Q65" s="49">
        <f t="shared" si="30"/>
        <v>93452.003916454836</v>
      </c>
      <c r="R65" s="49">
        <f t="shared" si="30"/>
        <v>163570.81319298031</v>
      </c>
      <c r="S65" s="49">
        <f t="shared" si="30"/>
        <v>141320.12970761469</v>
      </c>
      <c r="T65" s="49">
        <f t="shared" si="30"/>
        <v>307644.95440260292</v>
      </c>
      <c r="U65" s="49">
        <f t="shared" si="30"/>
        <v>390860.39757122542</v>
      </c>
      <c r="V65" s="49">
        <f t="shared" si="30"/>
        <v>474714.39523136936</v>
      </c>
      <c r="W65" s="49">
        <f t="shared" si="30"/>
        <v>474714.39523136936</v>
      </c>
      <c r="X65" s="49">
        <f t="shared" si="30"/>
        <v>474714.39523136936</v>
      </c>
      <c r="Y65" s="49">
        <f t="shared" si="30"/>
        <v>474714.39523136936</v>
      </c>
      <c r="Z65" s="49">
        <f t="shared" si="30"/>
        <v>474714.39523136936</v>
      </c>
    </row>
    <row r="66" spans="1:26" x14ac:dyDescent="0.2">
      <c r="A66" s="9" t="s">
        <v>2</v>
      </c>
      <c r="B66" s="4">
        <f>SUM(C66:Z66)</f>
        <v>298520.99204411847</v>
      </c>
      <c r="C66" s="38">
        <f t="shared" ref="C66:Z66" si="31">IF(C65&lt;0,-C65,0)</f>
        <v>0</v>
      </c>
      <c r="D66" s="38">
        <f t="shared" si="31"/>
        <v>0</v>
      </c>
      <c r="E66" s="38">
        <f t="shared" si="31"/>
        <v>0</v>
      </c>
      <c r="F66" s="38">
        <f t="shared" si="31"/>
        <v>35870.327999999994</v>
      </c>
      <c r="G66" s="38">
        <f t="shared" si="31"/>
        <v>36767.086199999991</v>
      </c>
      <c r="H66" s="38">
        <f t="shared" si="31"/>
        <v>51087.474392692027</v>
      </c>
      <c r="I66" s="38">
        <f t="shared" si="31"/>
        <v>52364.661252509322</v>
      </c>
      <c r="J66" s="38">
        <f t="shared" si="31"/>
        <v>54089.425209522051</v>
      </c>
      <c r="K66" s="38">
        <f t="shared" si="31"/>
        <v>19571.332839760111</v>
      </c>
      <c r="L66" s="38">
        <f t="shared" si="31"/>
        <v>20488.733009225114</v>
      </c>
      <c r="M66" s="38">
        <f t="shared" si="31"/>
        <v>21000.951334455742</v>
      </c>
      <c r="N66" s="38">
        <f t="shared" si="31"/>
        <v>7280.9998059541094</v>
      </c>
      <c r="O66" s="38">
        <f t="shared" si="31"/>
        <v>0</v>
      </c>
      <c r="P66" s="38">
        <f t="shared" si="31"/>
        <v>0</v>
      </c>
      <c r="Q66" s="38">
        <f t="shared" si="31"/>
        <v>0</v>
      </c>
      <c r="R66" s="38">
        <f t="shared" si="31"/>
        <v>0</v>
      </c>
      <c r="S66" s="38">
        <f t="shared" si="31"/>
        <v>0</v>
      </c>
      <c r="T66" s="38">
        <f t="shared" si="31"/>
        <v>0</v>
      </c>
      <c r="U66" s="38">
        <f t="shared" si="31"/>
        <v>0</v>
      </c>
      <c r="V66" s="38">
        <f t="shared" si="31"/>
        <v>0</v>
      </c>
      <c r="W66" s="38">
        <f t="shared" si="31"/>
        <v>0</v>
      </c>
      <c r="X66" s="38">
        <f t="shared" si="31"/>
        <v>0</v>
      </c>
      <c r="Y66" s="38">
        <f t="shared" si="31"/>
        <v>0</v>
      </c>
      <c r="Z66" s="38">
        <f t="shared" si="31"/>
        <v>0</v>
      </c>
    </row>
    <row r="67" spans="1:26" x14ac:dyDescent="0.2">
      <c r="A67" s="9" t="s">
        <v>3</v>
      </c>
      <c r="B67" s="4">
        <f>SUM(C67:Z67)</f>
        <v>-298520.99204411847</v>
      </c>
      <c r="C67" s="38">
        <f t="shared" ref="C67:Z67" si="32">IF(C65&gt;0,-MIN(B68,C65),0)</f>
        <v>0</v>
      </c>
      <c r="D67" s="38">
        <f t="shared" si="32"/>
        <v>0</v>
      </c>
      <c r="E67" s="38">
        <f t="shared" si="32"/>
        <v>0</v>
      </c>
      <c r="F67" s="38">
        <f t="shared" si="32"/>
        <v>0</v>
      </c>
      <c r="G67" s="38">
        <f t="shared" si="32"/>
        <v>0</v>
      </c>
      <c r="H67" s="38">
        <f t="shared" si="32"/>
        <v>0</v>
      </c>
      <c r="I67" s="38">
        <f t="shared" si="32"/>
        <v>0</v>
      </c>
      <c r="J67" s="38">
        <f t="shared" si="32"/>
        <v>0</v>
      </c>
      <c r="K67" s="38">
        <f t="shared" si="32"/>
        <v>0</v>
      </c>
      <c r="L67" s="38">
        <f t="shared" si="32"/>
        <v>0</v>
      </c>
      <c r="M67" s="38">
        <f t="shared" si="32"/>
        <v>0</v>
      </c>
      <c r="N67" s="38">
        <f t="shared" si="32"/>
        <v>0</v>
      </c>
      <c r="O67" s="38">
        <f t="shared" si="32"/>
        <v>-24737.272916695023</v>
      </c>
      <c r="P67" s="38">
        <f t="shared" si="32"/>
        <v>-75466.255705756732</v>
      </c>
      <c r="Q67" s="38">
        <f t="shared" si="32"/>
        <v>-93452.003916454836</v>
      </c>
      <c r="R67" s="38">
        <f t="shared" si="32"/>
        <v>-104865.45950521187</v>
      </c>
      <c r="S67" s="38">
        <f t="shared" si="32"/>
        <v>0</v>
      </c>
      <c r="T67" s="38">
        <f t="shared" si="32"/>
        <v>0</v>
      </c>
      <c r="U67" s="38">
        <f t="shared" si="32"/>
        <v>0</v>
      </c>
      <c r="V67" s="38">
        <f t="shared" si="32"/>
        <v>0</v>
      </c>
      <c r="W67" s="38">
        <f t="shared" si="32"/>
        <v>0</v>
      </c>
      <c r="X67" s="38">
        <f t="shared" si="32"/>
        <v>0</v>
      </c>
      <c r="Y67" s="38">
        <f t="shared" si="32"/>
        <v>0</v>
      </c>
      <c r="Z67" s="38">
        <f t="shared" si="32"/>
        <v>0</v>
      </c>
    </row>
    <row r="68" spans="1:26" s="28" customFormat="1" x14ac:dyDescent="0.2">
      <c r="A68" s="29" t="s">
        <v>4</v>
      </c>
      <c r="B68" s="65">
        <v>0</v>
      </c>
      <c r="C68" s="42">
        <f t="shared" ref="C68:Z68" si="33">B68+C66+C67</f>
        <v>0</v>
      </c>
      <c r="D68" s="42">
        <f t="shared" si="33"/>
        <v>0</v>
      </c>
      <c r="E68" s="42">
        <f t="shared" si="33"/>
        <v>0</v>
      </c>
      <c r="F68" s="42">
        <f t="shared" si="33"/>
        <v>35870.327999999994</v>
      </c>
      <c r="G68" s="42">
        <f t="shared" si="33"/>
        <v>72637.414199999985</v>
      </c>
      <c r="H68" s="42">
        <f t="shared" si="33"/>
        <v>123724.888592692</v>
      </c>
      <c r="I68" s="42">
        <f t="shared" si="33"/>
        <v>176089.54984520131</v>
      </c>
      <c r="J68" s="42">
        <f t="shared" si="33"/>
        <v>230178.97505472336</v>
      </c>
      <c r="K68" s="42">
        <f t="shared" si="33"/>
        <v>249750.30789448347</v>
      </c>
      <c r="L68" s="42">
        <f t="shared" si="33"/>
        <v>270239.04090370861</v>
      </c>
      <c r="M68" s="42">
        <f t="shared" si="33"/>
        <v>291239.99223816436</v>
      </c>
      <c r="N68" s="42">
        <f t="shared" si="33"/>
        <v>298520.99204411847</v>
      </c>
      <c r="O68" s="42">
        <f t="shared" si="33"/>
        <v>273783.71912742342</v>
      </c>
      <c r="P68" s="42">
        <f t="shared" si="33"/>
        <v>198317.4634216667</v>
      </c>
      <c r="Q68" s="42">
        <f t="shared" si="33"/>
        <v>104865.45950521187</v>
      </c>
      <c r="R68" s="42">
        <f t="shared" si="33"/>
        <v>0</v>
      </c>
      <c r="S68" s="42">
        <f t="shared" si="33"/>
        <v>0</v>
      </c>
      <c r="T68" s="42">
        <f t="shared" si="33"/>
        <v>0</v>
      </c>
      <c r="U68" s="42">
        <f t="shared" si="33"/>
        <v>0</v>
      </c>
      <c r="V68" s="42">
        <f t="shared" si="33"/>
        <v>0</v>
      </c>
      <c r="W68" s="42">
        <f t="shared" si="33"/>
        <v>0</v>
      </c>
      <c r="X68" s="42">
        <f t="shared" si="33"/>
        <v>0</v>
      </c>
      <c r="Y68" s="42">
        <f t="shared" si="33"/>
        <v>0</v>
      </c>
      <c r="Z68" s="42">
        <f t="shared" si="33"/>
        <v>0</v>
      </c>
    </row>
    <row r="69" spans="1:26" s="44" customFormat="1" x14ac:dyDescent="0.2">
      <c r="A69" s="43" t="s">
        <v>0</v>
      </c>
      <c r="B69" s="48"/>
      <c r="C69" s="49">
        <f t="shared" ref="C69:H69" si="34">C65+C66+C67</f>
        <v>0</v>
      </c>
      <c r="D69" s="49">
        <f t="shared" si="34"/>
        <v>0</v>
      </c>
      <c r="E69" s="49">
        <f t="shared" si="34"/>
        <v>0</v>
      </c>
      <c r="F69" s="49">
        <f t="shared" si="34"/>
        <v>0</v>
      </c>
      <c r="G69" s="49">
        <f t="shared" si="34"/>
        <v>0</v>
      </c>
      <c r="H69" s="49">
        <f t="shared" si="34"/>
        <v>0</v>
      </c>
      <c r="I69" s="49">
        <f>I65+I66+I67</f>
        <v>0</v>
      </c>
      <c r="J69" s="49">
        <f t="shared" ref="J69:Z69" si="35">J65+J66+J67</f>
        <v>0</v>
      </c>
      <c r="K69" s="49">
        <f t="shared" si="35"/>
        <v>0</v>
      </c>
      <c r="L69" s="49">
        <f t="shared" si="35"/>
        <v>0</v>
      </c>
      <c r="M69" s="49">
        <f t="shared" si="35"/>
        <v>0</v>
      </c>
      <c r="N69" s="49">
        <f t="shared" si="35"/>
        <v>0</v>
      </c>
      <c r="O69" s="49">
        <f t="shared" si="35"/>
        <v>0</v>
      </c>
      <c r="P69" s="49">
        <f>P65+P66+P67</f>
        <v>0</v>
      </c>
      <c r="Q69" s="49">
        <f t="shared" si="35"/>
        <v>0</v>
      </c>
      <c r="R69" s="49">
        <f t="shared" si="35"/>
        <v>58705.353687768438</v>
      </c>
      <c r="S69" s="49">
        <f t="shared" si="35"/>
        <v>141320.12970761469</v>
      </c>
      <c r="T69" s="49">
        <f t="shared" si="35"/>
        <v>307644.95440260292</v>
      </c>
      <c r="U69" s="49">
        <f t="shared" si="35"/>
        <v>390860.39757122542</v>
      </c>
      <c r="V69" s="49">
        <f t="shared" si="35"/>
        <v>474714.39523136936</v>
      </c>
      <c r="W69" s="49">
        <f t="shared" si="35"/>
        <v>474714.39523136936</v>
      </c>
      <c r="X69" s="49">
        <f t="shared" si="35"/>
        <v>474714.39523136936</v>
      </c>
      <c r="Y69" s="49">
        <f t="shared" si="35"/>
        <v>474714.39523136936</v>
      </c>
      <c r="Z69" s="49">
        <f t="shared" si="35"/>
        <v>474714.39523136936</v>
      </c>
    </row>
    <row r="70" spans="1:26" x14ac:dyDescent="0.2">
      <c r="A70" s="9" t="s">
        <v>5</v>
      </c>
      <c r="B70" s="4">
        <f>SUM(C70:Z70)</f>
        <v>0</v>
      </c>
      <c r="C70" s="38">
        <f t="shared" ref="C70:Z70" si="36">C84</f>
        <v>0</v>
      </c>
      <c r="D70" s="38">
        <f t="shared" si="36"/>
        <v>0</v>
      </c>
      <c r="E70" s="38">
        <f t="shared" si="36"/>
        <v>0</v>
      </c>
      <c r="F70" s="38">
        <f t="shared" si="36"/>
        <v>0</v>
      </c>
      <c r="G70" s="38">
        <f t="shared" si="36"/>
        <v>0</v>
      </c>
      <c r="H70" s="38">
        <f t="shared" si="36"/>
        <v>0</v>
      </c>
      <c r="I70" s="38">
        <f t="shared" si="36"/>
        <v>0</v>
      </c>
      <c r="J70" s="38">
        <f t="shared" si="36"/>
        <v>0</v>
      </c>
      <c r="K70" s="38">
        <f t="shared" si="36"/>
        <v>0</v>
      </c>
      <c r="L70" s="38">
        <f t="shared" si="36"/>
        <v>0</v>
      </c>
      <c r="M70" s="38">
        <f t="shared" si="36"/>
        <v>0</v>
      </c>
      <c r="N70" s="38">
        <f t="shared" si="36"/>
        <v>0</v>
      </c>
      <c r="O70" s="38">
        <f t="shared" si="36"/>
        <v>0</v>
      </c>
      <c r="P70" s="38">
        <f t="shared" si="36"/>
        <v>0</v>
      </c>
      <c r="Q70" s="38">
        <f t="shared" si="36"/>
        <v>0</v>
      </c>
      <c r="R70" s="38">
        <f t="shared" si="36"/>
        <v>0</v>
      </c>
      <c r="S70" s="38">
        <f t="shared" si="36"/>
        <v>0</v>
      </c>
      <c r="T70" s="38">
        <f t="shared" si="36"/>
        <v>0</v>
      </c>
      <c r="U70" s="38">
        <f t="shared" si="36"/>
        <v>0</v>
      </c>
      <c r="V70" s="38">
        <f t="shared" si="36"/>
        <v>0</v>
      </c>
      <c r="W70" s="38">
        <f t="shared" si="36"/>
        <v>0</v>
      </c>
      <c r="X70" s="38">
        <f t="shared" si="36"/>
        <v>0</v>
      </c>
      <c r="Y70" s="38">
        <f t="shared" si="36"/>
        <v>0</v>
      </c>
      <c r="Z70" s="38">
        <f t="shared" si="36"/>
        <v>0</v>
      </c>
    </row>
    <row r="71" spans="1:26" s="44" customFormat="1" x14ac:dyDescent="0.2">
      <c r="A71" s="43" t="s">
        <v>29</v>
      </c>
      <c r="B71" s="48"/>
      <c r="C71" s="49">
        <f t="shared" ref="C71:Z71" si="37">C69+C70</f>
        <v>0</v>
      </c>
      <c r="D71" s="49">
        <f t="shared" si="37"/>
        <v>0</v>
      </c>
      <c r="E71" s="49">
        <f t="shared" si="37"/>
        <v>0</v>
      </c>
      <c r="F71" s="49">
        <f t="shared" si="37"/>
        <v>0</v>
      </c>
      <c r="G71" s="49">
        <f t="shared" si="37"/>
        <v>0</v>
      </c>
      <c r="H71" s="49">
        <f t="shared" si="37"/>
        <v>0</v>
      </c>
      <c r="I71" s="49">
        <f t="shared" si="37"/>
        <v>0</v>
      </c>
      <c r="J71" s="49">
        <f t="shared" si="37"/>
        <v>0</v>
      </c>
      <c r="K71" s="49">
        <f t="shared" si="37"/>
        <v>0</v>
      </c>
      <c r="L71" s="49">
        <f t="shared" si="37"/>
        <v>0</v>
      </c>
      <c r="M71" s="49">
        <f t="shared" si="37"/>
        <v>0</v>
      </c>
      <c r="N71" s="49">
        <f t="shared" si="37"/>
        <v>0</v>
      </c>
      <c r="O71" s="49">
        <f t="shared" si="37"/>
        <v>0</v>
      </c>
      <c r="P71" s="49">
        <f>P69+P70</f>
        <v>0</v>
      </c>
      <c r="Q71" s="49">
        <f t="shared" si="37"/>
        <v>0</v>
      </c>
      <c r="R71" s="49">
        <f t="shared" si="37"/>
        <v>58705.353687768438</v>
      </c>
      <c r="S71" s="49">
        <f t="shared" si="37"/>
        <v>141320.12970761469</v>
      </c>
      <c r="T71" s="49">
        <f t="shared" si="37"/>
        <v>307644.95440260292</v>
      </c>
      <c r="U71" s="49">
        <f t="shared" si="37"/>
        <v>390860.39757122542</v>
      </c>
      <c r="V71" s="49">
        <f t="shared" si="37"/>
        <v>474714.39523136936</v>
      </c>
      <c r="W71" s="49">
        <f t="shared" si="37"/>
        <v>474714.39523136936</v>
      </c>
      <c r="X71" s="49">
        <f t="shared" si="37"/>
        <v>474714.39523136936</v>
      </c>
      <c r="Y71" s="49">
        <f t="shared" si="37"/>
        <v>474714.39523136936</v>
      </c>
      <c r="Z71" s="49">
        <f t="shared" si="37"/>
        <v>474714.39523136936</v>
      </c>
    </row>
    <row r="72" spans="1:26" x14ac:dyDescent="0.2">
      <c r="A72" s="9" t="s">
        <v>30</v>
      </c>
      <c r="B72" s="4">
        <f>SUM(C72:Z72)</f>
        <v>0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s="44" customFormat="1" x14ac:dyDescent="0.2">
      <c r="A73" s="43" t="s">
        <v>31</v>
      </c>
      <c r="B73" s="48"/>
      <c r="C73" s="49">
        <f t="shared" ref="C73:Q73" si="38">C71+C72</f>
        <v>0</v>
      </c>
      <c r="D73" s="49">
        <f t="shared" si="38"/>
        <v>0</v>
      </c>
      <c r="E73" s="49">
        <f t="shared" si="38"/>
        <v>0</v>
      </c>
      <c r="F73" s="49">
        <f t="shared" si="38"/>
        <v>0</v>
      </c>
      <c r="G73" s="49">
        <f t="shared" si="38"/>
        <v>0</v>
      </c>
      <c r="H73" s="49">
        <f t="shared" si="38"/>
        <v>0</v>
      </c>
      <c r="I73" s="49">
        <f t="shared" si="38"/>
        <v>0</v>
      </c>
      <c r="J73" s="49">
        <f t="shared" si="38"/>
        <v>0</v>
      </c>
      <c r="K73" s="49">
        <f t="shared" si="38"/>
        <v>0</v>
      </c>
      <c r="L73" s="49">
        <f t="shared" si="38"/>
        <v>0</v>
      </c>
      <c r="M73" s="49">
        <f t="shared" si="38"/>
        <v>0</v>
      </c>
      <c r="N73" s="49">
        <f t="shared" si="38"/>
        <v>0</v>
      </c>
      <c r="O73" s="49">
        <f t="shared" si="38"/>
        <v>0</v>
      </c>
      <c r="P73" s="49">
        <f>P71+P72</f>
        <v>0</v>
      </c>
      <c r="Q73" s="49">
        <f t="shared" si="38"/>
        <v>0</v>
      </c>
      <c r="R73" s="49">
        <f>R71+R72</f>
        <v>58705.353687768438</v>
      </c>
      <c r="S73" s="49">
        <f t="shared" ref="S73:Z73" si="39">S71+S72</f>
        <v>141320.12970761469</v>
      </c>
      <c r="T73" s="49">
        <f t="shared" si="39"/>
        <v>307644.95440260292</v>
      </c>
      <c r="U73" s="49">
        <f t="shared" si="39"/>
        <v>390860.39757122542</v>
      </c>
      <c r="V73" s="49">
        <f t="shared" si="39"/>
        <v>474714.39523136936</v>
      </c>
      <c r="W73" s="49">
        <f t="shared" si="39"/>
        <v>474714.39523136936</v>
      </c>
      <c r="X73" s="49">
        <f t="shared" si="39"/>
        <v>474714.39523136936</v>
      </c>
      <c r="Y73" s="49">
        <f t="shared" si="39"/>
        <v>474714.39523136936</v>
      </c>
      <c r="Z73" s="49">
        <f t="shared" si="39"/>
        <v>474714.39523136936</v>
      </c>
    </row>
    <row r="74" spans="1:26" x14ac:dyDescent="0.2">
      <c r="A74" s="41" t="s">
        <v>32</v>
      </c>
      <c r="B74" s="123">
        <f>SUM(C74:Z74)</f>
        <v>474714.39523136936</v>
      </c>
      <c r="C74" s="40">
        <f t="shared" ref="C74:Z74" si="40">C55+C60+C70</f>
        <v>0</v>
      </c>
      <c r="D74" s="40">
        <f t="shared" si="40"/>
        <v>0</v>
      </c>
      <c r="E74" s="40">
        <f t="shared" si="40"/>
        <v>0</v>
      </c>
      <c r="F74" s="40">
        <f t="shared" si="40"/>
        <v>-35870.327999999994</v>
      </c>
      <c r="G74" s="40">
        <f t="shared" si="40"/>
        <v>-36767.086199999991</v>
      </c>
      <c r="H74" s="40">
        <f t="shared" si="40"/>
        <v>-51087.474392692027</v>
      </c>
      <c r="I74" s="40">
        <f t="shared" si="40"/>
        <v>-52364.661252509322</v>
      </c>
      <c r="J74" s="40">
        <f t="shared" si="40"/>
        <v>-54089.425209522051</v>
      </c>
      <c r="K74" s="40">
        <f t="shared" si="40"/>
        <v>-19571.332839760111</v>
      </c>
      <c r="L74" s="40">
        <f t="shared" si="40"/>
        <v>-20488.733009225114</v>
      </c>
      <c r="M74" s="40">
        <f t="shared" si="40"/>
        <v>-21000.951334455742</v>
      </c>
      <c r="N74" s="40">
        <f t="shared" si="40"/>
        <v>-7280.9998059541094</v>
      </c>
      <c r="O74" s="40">
        <f t="shared" si="40"/>
        <v>24737.272916695023</v>
      </c>
      <c r="P74" s="40">
        <f t="shared" si="40"/>
        <v>75466.255705756732</v>
      </c>
      <c r="Q74" s="40">
        <f t="shared" si="40"/>
        <v>93452.003916454836</v>
      </c>
      <c r="R74" s="40">
        <f t="shared" si="40"/>
        <v>163570.81319298031</v>
      </c>
      <c r="S74" s="40">
        <f t="shared" si="40"/>
        <v>82614.776019846249</v>
      </c>
      <c r="T74" s="40">
        <f t="shared" si="40"/>
        <v>166324.82469498823</v>
      </c>
      <c r="U74" s="40">
        <f t="shared" si="40"/>
        <v>83215.443168622471</v>
      </c>
      <c r="V74" s="40">
        <f t="shared" si="40"/>
        <v>83853.997660143927</v>
      </c>
      <c r="W74" s="40">
        <f t="shared" si="40"/>
        <v>0</v>
      </c>
      <c r="X74" s="40">
        <f t="shared" si="40"/>
        <v>0</v>
      </c>
      <c r="Y74" s="40">
        <f t="shared" si="40"/>
        <v>0</v>
      </c>
      <c r="Z74" s="40">
        <f t="shared" si="40"/>
        <v>0</v>
      </c>
    </row>
    <row r="75" spans="1:26" x14ac:dyDescent="0.2">
      <c r="A75" s="9" t="s">
        <v>37</v>
      </c>
      <c r="B75" s="38">
        <f>SUM(C75:Z75)</f>
        <v>-320408.18289657892</v>
      </c>
      <c r="C75" s="38">
        <f t="shared" ref="C75:Z75" si="41">C60+C70</f>
        <v>0</v>
      </c>
      <c r="D75" s="38">
        <f t="shared" si="41"/>
        <v>0</v>
      </c>
      <c r="E75" s="38">
        <f t="shared" si="41"/>
        <v>0</v>
      </c>
      <c r="F75" s="38">
        <f t="shared" si="41"/>
        <v>-35870.327999999994</v>
      </c>
      <c r="G75" s="38">
        <f t="shared" si="41"/>
        <v>-36767.086199999991</v>
      </c>
      <c r="H75" s="38">
        <f t="shared" si="41"/>
        <v>-51087.474392692027</v>
      </c>
      <c r="I75" s="38">
        <f t="shared" si="41"/>
        <v>-52364.661252509322</v>
      </c>
      <c r="J75" s="38">
        <f t="shared" si="41"/>
        <v>-54089.425209522051</v>
      </c>
      <c r="K75" s="38">
        <f t="shared" si="41"/>
        <v>-19571.332839760111</v>
      </c>
      <c r="L75" s="38">
        <f t="shared" si="41"/>
        <v>-20488.733009225114</v>
      </c>
      <c r="M75" s="38">
        <f t="shared" si="41"/>
        <v>-21000.951334455742</v>
      </c>
      <c r="N75" s="38">
        <f t="shared" si="41"/>
        <v>-7280.9998059541094</v>
      </c>
      <c r="O75" s="38">
        <f t="shared" si="41"/>
        <v>-7463.0248011029616</v>
      </c>
      <c r="P75" s="38">
        <f t="shared" si="41"/>
        <v>-6844.5929781855857</v>
      </c>
      <c r="Q75" s="38">
        <f t="shared" si="41"/>
        <v>-4957.9365855416681</v>
      </c>
      <c r="R75" s="38">
        <f t="shared" si="41"/>
        <v>-2621.6364876302969</v>
      </c>
      <c r="S75" s="38">
        <f t="shared" si="41"/>
        <v>0</v>
      </c>
      <c r="T75" s="38">
        <f t="shared" si="41"/>
        <v>0</v>
      </c>
      <c r="U75" s="38">
        <f t="shared" si="41"/>
        <v>0</v>
      </c>
      <c r="V75" s="38">
        <f t="shared" si="41"/>
        <v>0</v>
      </c>
      <c r="W75" s="38">
        <f t="shared" si="41"/>
        <v>0</v>
      </c>
      <c r="X75" s="38">
        <f t="shared" si="41"/>
        <v>0</v>
      </c>
      <c r="Y75" s="38">
        <f t="shared" si="41"/>
        <v>0</v>
      </c>
      <c r="Z75" s="38">
        <f t="shared" si="41"/>
        <v>0</v>
      </c>
    </row>
    <row r="76" spans="1:26" x14ac:dyDescent="0.2">
      <c r="A76" s="9" t="s">
        <v>38</v>
      </c>
      <c r="B76" s="38">
        <f>SUM(C76:Z76)</f>
        <v>795122.57812794822</v>
      </c>
      <c r="C76" s="38">
        <f t="shared" ref="C76:Z76" si="42">C55</f>
        <v>0</v>
      </c>
      <c r="D76" s="38">
        <f t="shared" si="42"/>
        <v>0</v>
      </c>
      <c r="E76" s="38">
        <f t="shared" si="42"/>
        <v>0</v>
      </c>
      <c r="F76" s="38">
        <f t="shared" si="42"/>
        <v>0</v>
      </c>
      <c r="G76" s="38">
        <f t="shared" si="42"/>
        <v>0</v>
      </c>
      <c r="H76" s="38">
        <f t="shared" si="42"/>
        <v>0</v>
      </c>
      <c r="I76" s="38">
        <f t="shared" si="42"/>
        <v>0</v>
      </c>
      <c r="J76" s="38">
        <f t="shared" si="42"/>
        <v>0</v>
      </c>
      <c r="K76" s="38">
        <f t="shared" si="42"/>
        <v>0</v>
      </c>
      <c r="L76" s="38">
        <f t="shared" si="42"/>
        <v>0</v>
      </c>
      <c r="M76" s="38">
        <f t="shared" si="42"/>
        <v>0</v>
      </c>
      <c r="N76" s="38">
        <f t="shared" si="42"/>
        <v>0</v>
      </c>
      <c r="O76" s="38">
        <f t="shared" si="42"/>
        <v>32200.297717797985</v>
      </c>
      <c r="P76" s="38">
        <f t="shared" si="42"/>
        <v>82310.848683942313</v>
      </c>
      <c r="Q76" s="38">
        <f t="shared" si="42"/>
        <v>98409.940501996505</v>
      </c>
      <c r="R76" s="38">
        <f t="shared" si="42"/>
        <v>166192.44968061059</v>
      </c>
      <c r="S76" s="38">
        <f t="shared" si="42"/>
        <v>82614.776019846249</v>
      </c>
      <c r="T76" s="38">
        <f t="shared" si="42"/>
        <v>166324.82469498823</v>
      </c>
      <c r="U76" s="38">
        <f t="shared" si="42"/>
        <v>83215.443168622471</v>
      </c>
      <c r="V76" s="38">
        <f t="shared" si="42"/>
        <v>83853.997660143927</v>
      </c>
      <c r="W76" s="38">
        <f t="shared" si="42"/>
        <v>0</v>
      </c>
      <c r="X76" s="38">
        <f t="shared" si="42"/>
        <v>0</v>
      </c>
      <c r="Y76" s="38">
        <f t="shared" si="42"/>
        <v>0</v>
      </c>
      <c r="Z76" s="38">
        <f t="shared" si="42"/>
        <v>0</v>
      </c>
    </row>
    <row r="77" spans="1:26" x14ac:dyDescent="0.2">
      <c r="A77" s="10" t="s">
        <v>152</v>
      </c>
      <c r="B77" s="124">
        <f>IRR(C74:Z74)*4</f>
        <v>0.40919818079842507</v>
      </c>
      <c r="C77" s="13"/>
      <c r="D77" s="25"/>
      <c r="E77" s="25"/>
      <c r="F77" s="25"/>
      <c r="G77" s="20"/>
      <c r="H77" s="20"/>
      <c r="I77" s="20"/>
      <c r="J77" s="2"/>
      <c r="K77" s="2"/>
      <c r="L77" s="2"/>
      <c r="M77" s="2"/>
      <c r="N77" s="2"/>
      <c r="O77" s="2"/>
      <c r="P77" s="2"/>
      <c r="Q77" s="2"/>
      <c r="R77" s="2"/>
    </row>
    <row r="78" spans="1:26" x14ac:dyDescent="0.2">
      <c r="A78" s="21"/>
      <c r="B78" s="22"/>
      <c r="C78" s="22"/>
      <c r="D78" s="22"/>
      <c r="E78" s="22"/>
      <c r="F78" s="22"/>
      <c r="G78" s="23"/>
      <c r="H78" s="23"/>
      <c r="I78" s="23"/>
      <c r="J78" s="24"/>
      <c r="K78" s="24"/>
      <c r="L78" s="24"/>
      <c r="M78" s="24"/>
      <c r="N78" s="24"/>
      <c r="O78" s="24"/>
      <c r="P78" s="24"/>
    </row>
    <row r="79" spans="1:26" hidden="1" outlineLevel="1" x14ac:dyDescent="0.2">
      <c r="A79" s="9" t="s">
        <v>51</v>
      </c>
      <c r="B79" s="4">
        <f>SUM(C79:Z79)</f>
        <v>8074.034506927972</v>
      </c>
      <c r="C79" s="38">
        <f t="shared" ref="C79:Z79" si="43">C57+C59</f>
        <v>0</v>
      </c>
      <c r="D79" s="38">
        <f t="shared" si="43"/>
        <v>0</v>
      </c>
      <c r="E79" s="38">
        <f t="shared" si="43"/>
        <v>0</v>
      </c>
      <c r="F79" s="38">
        <f t="shared" si="43"/>
        <v>0</v>
      </c>
      <c r="G79" s="38">
        <f t="shared" si="43"/>
        <v>0</v>
      </c>
      <c r="H79" s="38">
        <f t="shared" si="43"/>
        <v>0</v>
      </c>
      <c r="I79" s="38">
        <f t="shared" si="43"/>
        <v>0</v>
      </c>
      <c r="J79" s="38">
        <f t="shared" si="43"/>
        <v>0</v>
      </c>
      <c r="K79" s="38">
        <f t="shared" si="43"/>
        <v>0</v>
      </c>
      <c r="L79" s="38">
        <f t="shared" si="43"/>
        <v>0</v>
      </c>
      <c r="M79" s="38">
        <f t="shared" si="43"/>
        <v>0</v>
      </c>
      <c r="N79" s="38">
        <f t="shared" si="43"/>
        <v>0</v>
      </c>
      <c r="O79" s="38">
        <f t="shared" si="43"/>
        <v>0</v>
      </c>
      <c r="P79" s="38">
        <f t="shared" si="43"/>
        <v>2497.8811640625008</v>
      </c>
      <c r="Q79" s="38">
        <f t="shared" si="43"/>
        <v>0</v>
      </c>
      <c r="R79" s="38">
        <f t="shared" si="43"/>
        <v>2572.8175989843762</v>
      </c>
      <c r="S79" s="38">
        <f t="shared" si="43"/>
        <v>0</v>
      </c>
      <c r="T79" s="38">
        <f t="shared" si="43"/>
        <v>0</v>
      </c>
      <c r="U79" s="38">
        <f t="shared" si="43"/>
        <v>3003.335743881094</v>
      </c>
      <c r="V79" s="38">
        <f t="shared" si="43"/>
        <v>0</v>
      </c>
      <c r="W79" s="38">
        <f t="shared" si="43"/>
        <v>0</v>
      </c>
      <c r="X79" s="38">
        <f t="shared" si="43"/>
        <v>0</v>
      </c>
      <c r="Y79" s="38">
        <f t="shared" si="43"/>
        <v>0</v>
      </c>
      <c r="Z79" s="38">
        <f t="shared" si="43"/>
        <v>0</v>
      </c>
    </row>
    <row r="80" spans="1:26" hidden="1" outlineLevel="1" x14ac:dyDescent="0.2">
      <c r="A80" s="9" t="s">
        <v>6</v>
      </c>
      <c r="B80" s="4">
        <f>SUM(C80:Z80)</f>
        <v>-58130.453270684848</v>
      </c>
      <c r="C80" s="38">
        <f t="shared" ref="C80:R80" si="44">C63</f>
        <v>0</v>
      </c>
      <c r="D80" s="38">
        <f t="shared" si="44"/>
        <v>0</v>
      </c>
      <c r="E80" s="38">
        <f t="shared" si="44"/>
        <v>0</v>
      </c>
      <c r="F80" s="38">
        <f t="shared" ref="F80:Z80" si="45">F63</f>
        <v>0</v>
      </c>
      <c r="G80" s="38">
        <f t="shared" si="44"/>
        <v>-896.75819999999987</v>
      </c>
      <c r="H80" s="38">
        <f t="shared" si="44"/>
        <v>-1815.9353549999996</v>
      </c>
      <c r="I80" s="38">
        <f t="shared" si="44"/>
        <v>-3093.1222148173001</v>
      </c>
      <c r="J80" s="38">
        <f t="shared" si="44"/>
        <v>-4402.2387461300332</v>
      </c>
      <c r="K80" s="38">
        <f t="shared" si="44"/>
        <v>-5754.4743763680844</v>
      </c>
      <c r="L80" s="38">
        <f t="shared" si="44"/>
        <v>-6243.7576973620871</v>
      </c>
      <c r="M80" s="38">
        <f t="shared" si="44"/>
        <v>-6755.9760225927157</v>
      </c>
      <c r="N80" s="38">
        <f t="shared" si="44"/>
        <v>-7280.9998059541094</v>
      </c>
      <c r="O80" s="38">
        <f t="shared" si="44"/>
        <v>-7463.0248011029616</v>
      </c>
      <c r="P80" s="38">
        <f t="shared" si="44"/>
        <v>-6844.5929781855857</v>
      </c>
      <c r="Q80" s="38">
        <f t="shared" si="44"/>
        <v>-4957.9365855416681</v>
      </c>
      <c r="R80" s="38">
        <f t="shared" si="44"/>
        <v>-2621.6364876302969</v>
      </c>
      <c r="S80" s="38">
        <f t="shared" si="45"/>
        <v>0</v>
      </c>
      <c r="T80" s="38">
        <f t="shared" si="45"/>
        <v>0</v>
      </c>
      <c r="U80" s="38">
        <f t="shared" si="45"/>
        <v>0</v>
      </c>
      <c r="V80" s="38">
        <f t="shared" si="45"/>
        <v>0</v>
      </c>
      <c r="W80" s="38">
        <f t="shared" si="45"/>
        <v>0</v>
      </c>
      <c r="X80" s="38">
        <f t="shared" si="45"/>
        <v>0</v>
      </c>
      <c r="Y80" s="38">
        <f t="shared" si="45"/>
        <v>0</v>
      </c>
      <c r="Z80" s="38">
        <f t="shared" si="45"/>
        <v>0</v>
      </c>
    </row>
    <row r="81" spans="1:26" hidden="1" outlineLevel="1" x14ac:dyDescent="0.2">
      <c r="A81" s="9" t="s">
        <v>7</v>
      </c>
      <c r="B81" s="4">
        <f>SUM(C81:Z81)</f>
        <v>-50056.418763756868</v>
      </c>
      <c r="C81" s="38">
        <f t="shared" ref="C81:Z81" si="46">C79+C80</f>
        <v>0</v>
      </c>
      <c r="D81" s="38">
        <f t="shared" si="46"/>
        <v>0</v>
      </c>
      <c r="E81" s="38">
        <f t="shared" si="46"/>
        <v>0</v>
      </c>
      <c r="F81" s="38">
        <f t="shared" si="46"/>
        <v>0</v>
      </c>
      <c r="G81" s="38">
        <f t="shared" si="46"/>
        <v>-896.75819999999987</v>
      </c>
      <c r="H81" s="38">
        <f t="shared" si="46"/>
        <v>-1815.9353549999996</v>
      </c>
      <c r="I81" s="38">
        <f t="shared" si="46"/>
        <v>-3093.1222148173001</v>
      </c>
      <c r="J81" s="38">
        <f t="shared" si="46"/>
        <v>-4402.2387461300332</v>
      </c>
      <c r="K81" s="38">
        <f t="shared" si="46"/>
        <v>-5754.4743763680844</v>
      </c>
      <c r="L81" s="38">
        <f t="shared" si="46"/>
        <v>-6243.7576973620871</v>
      </c>
      <c r="M81" s="38">
        <f t="shared" si="46"/>
        <v>-6755.9760225927157</v>
      </c>
      <c r="N81" s="38">
        <f t="shared" si="46"/>
        <v>-7280.9998059541094</v>
      </c>
      <c r="O81" s="38">
        <f t="shared" si="46"/>
        <v>-7463.0248011029616</v>
      </c>
      <c r="P81" s="38">
        <f t="shared" si="46"/>
        <v>-4346.7118141230849</v>
      </c>
      <c r="Q81" s="38">
        <f t="shared" si="46"/>
        <v>-4957.9365855416681</v>
      </c>
      <c r="R81" s="38">
        <f t="shared" si="46"/>
        <v>-48.818888645920651</v>
      </c>
      <c r="S81" s="38">
        <f t="shared" si="46"/>
        <v>0</v>
      </c>
      <c r="T81" s="38">
        <f t="shared" si="46"/>
        <v>0</v>
      </c>
      <c r="U81" s="38">
        <f t="shared" si="46"/>
        <v>3003.335743881094</v>
      </c>
      <c r="V81" s="38">
        <f t="shared" si="46"/>
        <v>0</v>
      </c>
      <c r="W81" s="38">
        <f t="shared" si="46"/>
        <v>0</v>
      </c>
      <c r="X81" s="38">
        <f t="shared" si="46"/>
        <v>0</v>
      </c>
      <c r="Y81" s="38">
        <f t="shared" si="46"/>
        <v>0</v>
      </c>
      <c r="Z81" s="38">
        <f t="shared" si="46"/>
        <v>0</v>
      </c>
    </row>
    <row r="82" spans="1:26" hidden="1" outlineLevel="1" x14ac:dyDescent="0.2">
      <c r="A82" s="9" t="s">
        <v>8</v>
      </c>
      <c r="B82" s="4"/>
      <c r="C82" s="38">
        <f t="shared" ref="C82:Z82" si="47">B82+C81</f>
        <v>0</v>
      </c>
      <c r="D82" s="38">
        <f t="shared" si="47"/>
        <v>0</v>
      </c>
      <c r="E82" s="38">
        <f t="shared" si="47"/>
        <v>0</v>
      </c>
      <c r="F82" s="38">
        <f t="shared" si="47"/>
        <v>0</v>
      </c>
      <c r="G82" s="38">
        <f t="shared" si="47"/>
        <v>-896.75819999999987</v>
      </c>
      <c r="H82" s="38">
        <f t="shared" si="47"/>
        <v>-2712.6935549999994</v>
      </c>
      <c r="I82" s="38">
        <f t="shared" si="47"/>
        <v>-5805.8157698173</v>
      </c>
      <c r="J82" s="38">
        <f t="shared" si="47"/>
        <v>-10208.054515947333</v>
      </c>
      <c r="K82" s="38">
        <f t="shared" si="47"/>
        <v>-15962.528892315418</v>
      </c>
      <c r="L82" s="38">
        <f t="shared" si="47"/>
        <v>-22206.286589677504</v>
      </c>
      <c r="M82" s="38">
        <f t="shared" si="47"/>
        <v>-28962.26261227022</v>
      </c>
      <c r="N82" s="38">
        <f t="shared" si="47"/>
        <v>-36243.262418224331</v>
      </c>
      <c r="O82" s="38">
        <f t="shared" si="47"/>
        <v>-43706.287219327292</v>
      </c>
      <c r="P82" s="38">
        <f t="shared" si="47"/>
        <v>-48052.999033450375</v>
      </c>
      <c r="Q82" s="38">
        <f t="shared" si="47"/>
        <v>-53010.935618992044</v>
      </c>
      <c r="R82" s="38">
        <f t="shared" si="47"/>
        <v>-53059.754507637961</v>
      </c>
      <c r="S82" s="38">
        <f t="shared" si="47"/>
        <v>-53059.754507637961</v>
      </c>
      <c r="T82" s="38">
        <f t="shared" si="47"/>
        <v>-53059.754507637961</v>
      </c>
      <c r="U82" s="38">
        <f t="shared" si="47"/>
        <v>-50056.418763756868</v>
      </c>
      <c r="V82" s="38">
        <f t="shared" si="47"/>
        <v>-50056.418763756868</v>
      </c>
      <c r="W82" s="38">
        <f t="shared" si="47"/>
        <v>-50056.418763756868</v>
      </c>
      <c r="X82" s="38">
        <f t="shared" si="47"/>
        <v>-50056.418763756868</v>
      </c>
      <c r="Y82" s="38">
        <f t="shared" si="47"/>
        <v>-50056.418763756868</v>
      </c>
      <c r="Z82" s="38">
        <f t="shared" si="47"/>
        <v>-50056.418763756868</v>
      </c>
    </row>
    <row r="83" spans="1:26" hidden="1" outlineLevel="1" x14ac:dyDescent="0.2">
      <c r="A83" s="9" t="s">
        <v>9</v>
      </c>
      <c r="B83" s="4">
        <f>SUM(C83:Z83)</f>
        <v>0</v>
      </c>
      <c r="C83" s="38">
        <f t="shared" ref="C83:Z83" si="48">MAX(MIN(C82,C81),0)</f>
        <v>0</v>
      </c>
      <c r="D83" s="38">
        <f t="shared" si="48"/>
        <v>0</v>
      </c>
      <c r="E83" s="38">
        <f t="shared" si="48"/>
        <v>0</v>
      </c>
      <c r="F83" s="38">
        <f t="shared" si="48"/>
        <v>0</v>
      </c>
      <c r="G83" s="38">
        <f t="shared" si="48"/>
        <v>0</v>
      </c>
      <c r="H83" s="38">
        <f t="shared" si="48"/>
        <v>0</v>
      </c>
      <c r="I83" s="38">
        <f t="shared" si="48"/>
        <v>0</v>
      </c>
      <c r="J83" s="38">
        <f t="shared" si="48"/>
        <v>0</v>
      </c>
      <c r="K83" s="38">
        <f t="shared" si="48"/>
        <v>0</v>
      </c>
      <c r="L83" s="38">
        <f t="shared" si="48"/>
        <v>0</v>
      </c>
      <c r="M83" s="38">
        <f t="shared" si="48"/>
        <v>0</v>
      </c>
      <c r="N83" s="38">
        <f t="shared" si="48"/>
        <v>0</v>
      </c>
      <c r="O83" s="38">
        <f t="shared" si="48"/>
        <v>0</v>
      </c>
      <c r="P83" s="38">
        <f t="shared" si="48"/>
        <v>0</v>
      </c>
      <c r="Q83" s="38">
        <f t="shared" si="48"/>
        <v>0</v>
      </c>
      <c r="R83" s="38">
        <f t="shared" si="48"/>
        <v>0</v>
      </c>
      <c r="S83" s="38">
        <f t="shared" si="48"/>
        <v>0</v>
      </c>
      <c r="T83" s="38">
        <f t="shared" si="48"/>
        <v>0</v>
      </c>
      <c r="U83" s="38">
        <f t="shared" si="48"/>
        <v>0</v>
      </c>
      <c r="V83" s="38">
        <f t="shared" si="48"/>
        <v>0</v>
      </c>
      <c r="W83" s="38">
        <f t="shared" si="48"/>
        <v>0</v>
      </c>
      <c r="X83" s="38">
        <f t="shared" si="48"/>
        <v>0</v>
      </c>
      <c r="Y83" s="38">
        <f t="shared" si="48"/>
        <v>0</v>
      </c>
      <c r="Z83" s="38">
        <f t="shared" si="48"/>
        <v>0</v>
      </c>
    </row>
    <row r="84" spans="1:26" hidden="1" outlineLevel="1" x14ac:dyDescent="0.2">
      <c r="A84" s="9" t="s">
        <v>10</v>
      </c>
      <c r="B84" s="4">
        <f>SUM(C84:Z84)</f>
        <v>0</v>
      </c>
      <c r="C84" s="38">
        <f t="shared" ref="C84:Z84" si="49">-C83*0.2</f>
        <v>0</v>
      </c>
      <c r="D84" s="38">
        <f t="shared" si="49"/>
        <v>0</v>
      </c>
      <c r="E84" s="38">
        <f t="shared" si="49"/>
        <v>0</v>
      </c>
      <c r="F84" s="38">
        <f t="shared" si="49"/>
        <v>0</v>
      </c>
      <c r="G84" s="38">
        <f t="shared" si="49"/>
        <v>0</v>
      </c>
      <c r="H84" s="38">
        <f t="shared" si="49"/>
        <v>0</v>
      </c>
      <c r="I84" s="38">
        <f t="shared" si="49"/>
        <v>0</v>
      </c>
      <c r="J84" s="38">
        <f t="shared" si="49"/>
        <v>0</v>
      </c>
      <c r="K84" s="38">
        <f t="shared" si="49"/>
        <v>0</v>
      </c>
      <c r="L84" s="38">
        <f t="shared" si="49"/>
        <v>0</v>
      </c>
      <c r="M84" s="38">
        <f t="shared" si="49"/>
        <v>0</v>
      </c>
      <c r="N84" s="38">
        <f t="shared" si="49"/>
        <v>0</v>
      </c>
      <c r="O84" s="38">
        <f t="shared" si="49"/>
        <v>0</v>
      </c>
      <c r="P84" s="38">
        <f t="shared" si="49"/>
        <v>0</v>
      </c>
      <c r="Q84" s="38">
        <f t="shared" si="49"/>
        <v>0</v>
      </c>
      <c r="R84" s="38">
        <f t="shared" si="49"/>
        <v>0</v>
      </c>
      <c r="S84" s="38">
        <f t="shared" si="49"/>
        <v>0</v>
      </c>
      <c r="T84" s="38">
        <f t="shared" si="49"/>
        <v>0</v>
      </c>
      <c r="U84" s="38">
        <f t="shared" si="49"/>
        <v>0</v>
      </c>
      <c r="V84" s="38">
        <f t="shared" si="49"/>
        <v>0</v>
      </c>
      <c r="W84" s="38">
        <f t="shared" si="49"/>
        <v>0</v>
      </c>
      <c r="X84" s="38">
        <f t="shared" si="49"/>
        <v>0</v>
      </c>
      <c r="Y84" s="38">
        <f t="shared" si="49"/>
        <v>0</v>
      </c>
      <c r="Z84" s="38">
        <f t="shared" si="49"/>
        <v>0</v>
      </c>
    </row>
    <row r="85" spans="1:26" hidden="1" outlineLevel="1" x14ac:dyDescent="0.2">
      <c r="A85" s="9" t="s">
        <v>11</v>
      </c>
      <c r="B85" s="4">
        <f>SUM(C85:Z85)</f>
        <v>-50056.418763756868</v>
      </c>
      <c r="C85" s="38">
        <f t="shared" ref="C85:Z85" si="50">C81+C84</f>
        <v>0</v>
      </c>
      <c r="D85" s="38">
        <f t="shared" si="50"/>
        <v>0</v>
      </c>
      <c r="E85" s="38">
        <f t="shared" si="50"/>
        <v>0</v>
      </c>
      <c r="F85" s="38">
        <f t="shared" si="50"/>
        <v>0</v>
      </c>
      <c r="G85" s="38">
        <f t="shared" si="50"/>
        <v>-896.75819999999987</v>
      </c>
      <c r="H85" s="38">
        <f t="shared" si="50"/>
        <v>-1815.9353549999996</v>
      </c>
      <c r="I85" s="38">
        <f t="shared" si="50"/>
        <v>-3093.1222148173001</v>
      </c>
      <c r="J85" s="38">
        <f t="shared" si="50"/>
        <v>-4402.2387461300332</v>
      </c>
      <c r="K85" s="38">
        <f t="shared" si="50"/>
        <v>-5754.4743763680844</v>
      </c>
      <c r="L85" s="38">
        <f t="shared" si="50"/>
        <v>-6243.7576973620871</v>
      </c>
      <c r="M85" s="38">
        <f t="shared" si="50"/>
        <v>-6755.9760225927157</v>
      </c>
      <c r="N85" s="38">
        <f t="shared" si="50"/>
        <v>-7280.9998059541094</v>
      </c>
      <c r="O85" s="38">
        <f t="shared" si="50"/>
        <v>-7463.0248011029616</v>
      </c>
      <c r="P85" s="38">
        <f t="shared" si="50"/>
        <v>-4346.7118141230849</v>
      </c>
      <c r="Q85" s="38">
        <f t="shared" si="50"/>
        <v>-4957.9365855416681</v>
      </c>
      <c r="R85" s="38">
        <f t="shared" si="50"/>
        <v>-48.818888645920651</v>
      </c>
      <c r="S85" s="38">
        <f t="shared" si="50"/>
        <v>0</v>
      </c>
      <c r="T85" s="38">
        <f t="shared" si="50"/>
        <v>0</v>
      </c>
      <c r="U85" s="38">
        <f t="shared" si="50"/>
        <v>3003.335743881094</v>
      </c>
      <c r="V85" s="38">
        <f t="shared" si="50"/>
        <v>0</v>
      </c>
      <c r="W85" s="38">
        <f t="shared" si="50"/>
        <v>0</v>
      </c>
      <c r="X85" s="38">
        <f t="shared" si="50"/>
        <v>0</v>
      </c>
      <c r="Y85" s="38">
        <f t="shared" si="50"/>
        <v>0</v>
      </c>
      <c r="Z85" s="38">
        <f t="shared" si="50"/>
        <v>0</v>
      </c>
    </row>
    <row r="86" spans="1:26" hidden="1" outlineLevel="1" x14ac:dyDescent="0.2">
      <c r="A86" s="9" t="s">
        <v>8</v>
      </c>
      <c r="B86" s="4"/>
      <c r="C86" s="38">
        <f t="shared" ref="C86:Z86" si="51">B86+C85</f>
        <v>0</v>
      </c>
      <c r="D86" s="38">
        <f t="shared" si="51"/>
        <v>0</v>
      </c>
      <c r="E86" s="38">
        <f t="shared" si="51"/>
        <v>0</v>
      </c>
      <c r="F86" s="38">
        <f t="shared" si="51"/>
        <v>0</v>
      </c>
      <c r="G86" s="38">
        <f t="shared" si="51"/>
        <v>-896.75819999999987</v>
      </c>
      <c r="H86" s="38">
        <f t="shared" si="51"/>
        <v>-2712.6935549999994</v>
      </c>
      <c r="I86" s="38">
        <f t="shared" si="51"/>
        <v>-5805.8157698173</v>
      </c>
      <c r="J86" s="38">
        <f t="shared" si="51"/>
        <v>-10208.054515947333</v>
      </c>
      <c r="K86" s="38">
        <f t="shared" si="51"/>
        <v>-15962.528892315418</v>
      </c>
      <c r="L86" s="38">
        <f t="shared" si="51"/>
        <v>-22206.286589677504</v>
      </c>
      <c r="M86" s="38">
        <f t="shared" si="51"/>
        <v>-28962.26261227022</v>
      </c>
      <c r="N86" s="38">
        <f t="shared" si="51"/>
        <v>-36243.262418224331</v>
      </c>
      <c r="O86" s="38">
        <f t="shared" si="51"/>
        <v>-43706.287219327292</v>
      </c>
      <c r="P86" s="38">
        <f t="shared" si="51"/>
        <v>-48052.999033450375</v>
      </c>
      <c r="Q86" s="38">
        <f t="shared" si="51"/>
        <v>-53010.935618992044</v>
      </c>
      <c r="R86" s="38">
        <f t="shared" si="51"/>
        <v>-53059.754507637961</v>
      </c>
      <c r="S86" s="38">
        <f t="shared" si="51"/>
        <v>-53059.754507637961</v>
      </c>
      <c r="T86" s="38">
        <f t="shared" si="51"/>
        <v>-53059.754507637961</v>
      </c>
      <c r="U86" s="38">
        <f t="shared" si="51"/>
        <v>-50056.418763756868</v>
      </c>
      <c r="V86" s="38">
        <f t="shared" si="51"/>
        <v>-50056.418763756868</v>
      </c>
      <c r="W86" s="38">
        <f t="shared" si="51"/>
        <v>-50056.418763756868</v>
      </c>
      <c r="X86" s="38">
        <f t="shared" si="51"/>
        <v>-50056.418763756868</v>
      </c>
      <c r="Y86" s="38">
        <f t="shared" si="51"/>
        <v>-50056.418763756868</v>
      </c>
      <c r="Z86" s="38">
        <f t="shared" si="51"/>
        <v>-50056.418763756868</v>
      </c>
    </row>
    <row r="87" spans="1:26" hidden="1" outlineLevel="1" x14ac:dyDescent="0.2">
      <c r="A87" s="21"/>
      <c r="B87" s="27">
        <f>IF(B83=0,0,B84/B83)</f>
        <v>0</v>
      </c>
      <c r="C87" s="22"/>
      <c r="D87" s="22"/>
      <c r="E87" s="22"/>
      <c r="F87" s="22"/>
      <c r="G87" s="23"/>
      <c r="H87" s="23"/>
      <c r="I87" s="23"/>
      <c r="J87" s="24"/>
      <c r="K87" s="24"/>
      <c r="L87" s="24"/>
      <c r="M87" s="24"/>
      <c r="N87" s="24"/>
      <c r="O87" s="24"/>
      <c r="P87" s="24"/>
    </row>
    <row r="88" spans="1:26" hidden="1" collapsed="1" x14ac:dyDescent="0.2"/>
    <row r="89" spans="1:26" hidden="1" x14ac:dyDescent="0.2"/>
    <row r="90" spans="1:26" hidden="1" x14ac:dyDescent="0.2"/>
    <row r="91" spans="1:26" hidden="1" x14ac:dyDescent="0.2"/>
    <row r="92" spans="1:26" hidden="1" x14ac:dyDescent="0.2"/>
    <row r="93" spans="1:26" hidden="1" x14ac:dyDescent="0.2"/>
    <row r="94" spans="1:26" hidden="1" x14ac:dyDescent="0.2"/>
    <row r="95" spans="1:26" hidden="1" x14ac:dyDescent="0.2"/>
    <row r="96" spans="1:26" hidden="1" x14ac:dyDescent="0.2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5:18" hidden="1" x14ac:dyDescent="0.2"/>
    <row r="98" spans="5:18" hidden="1" x14ac:dyDescent="0.2"/>
    <row r="99" spans="5:18" hidden="1" x14ac:dyDescent="0.2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5:18" hidden="1" x14ac:dyDescent="0.2"/>
    <row r="101" spans="5:18" hidden="1" x14ac:dyDescent="0.2"/>
    <row r="102" spans="5:18" x14ac:dyDescent="0.2"/>
  </sheetData>
  <mergeCells count="12">
    <mergeCell ref="W53:Z53"/>
    <mergeCell ref="C5:F5"/>
    <mergeCell ref="G5:J5"/>
    <mergeCell ref="K5:N5"/>
    <mergeCell ref="O5:R5"/>
    <mergeCell ref="S5:V5"/>
    <mergeCell ref="W5:Z5"/>
    <mergeCell ref="C53:F53"/>
    <mergeCell ref="G53:J53"/>
    <mergeCell ref="K53:N53"/>
    <mergeCell ref="O53:R53"/>
    <mergeCell ref="S53:V53"/>
  </mergeCells>
  <conditionalFormatting sqref="B12:Z16 B56:Z59 W23:Z24 W19:Z19 B22:B24 B19">
    <cfRule type="cellIs" dxfId="523" priority="66" operator="equal">
      <formula>0</formula>
    </cfRule>
  </conditionalFormatting>
  <conditionalFormatting sqref="B18 G18:Z18">
    <cfRule type="cellIs" dxfId="522" priority="65" operator="equal">
      <formula>0</formula>
    </cfRule>
  </conditionalFormatting>
  <conditionalFormatting sqref="B20 G20:Z20">
    <cfRule type="cellIs" dxfId="521" priority="64" operator="equal">
      <formula>0</formula>
    </cfRule>
  </conditionalFormatting>
  <conditionalFormatting sqref="B21 G21:Z21">
    <cfRule type="cellIs" dxfId="520" priority="63" operator="equal">
      <formula>0</formula>
    </cfRule>
  </conditionalFormatting>
  <conditionalFormatting sqref="G22:Z22">
    <cfRule type="cellIs" dxfId="519" priority="62" operator="equal">
      <formula>0</formula>
    </cfRule>
  </conditionalFormatting>
  <conditionalFormatting sqref="B26:Z26">
    <cfRule type="cellIs" dxfId="518" priority="61" operator="equal">
      <formula>0</formula>
    </cfRule>
  </conditionalFormatting>
  <conditionalFormatting sqref="B27:Z27">
    <cfRule type="cellIs" dxfId="517" priority="60" operator="equal">
      <formula>0</formula>
    </cfRule>
  </conditionalFormatting>
  <conditionalFormatting sqref="B33:Z34">
    <cfRule type="cellIs" dxfId="516" priority="51" operator="equal">
      <formula>0</formula>
    </cfRule>
  </conditionalFormatting>
  <conditionalFormatting sqref="B30:Z30">
    <cfRule type="cellIs" dxfId="515" priority="59" operator="equal">
      <formula>0</formula>
    </cfRule>
  </conditionalFormatting>
  <conditionalFormatting sqref="B31:Z31">
    <cfRule type="cellIs" dxfId="514" priority="58" operator="equal">
      <formula>0</formula>
    </cfRule>
  </conditionalFormatting>
  <conditionalFormatting sqref="B36:Z36">
    <cfRule type="cellIs" dxfId="513" priority="57" operator="equal">
      <formula>0</formula>
    </cfRule>
  </conditionalFormatting>
  <conditionalFormatting sqref="B38:Z38">
    <cfRule type="cellIs" dxfId="512" priority="56" operator="equal">
      <formula>0</formula>
    </cfRule>
  </conditionalFormatting>
  <conditionalFormatting sqref="B40:Z40">
    <cfRule type="cellIs" dxfId="511" priority="55" operator="equal">
      <formula>0</formula>
    </cfRule>
  </conditionalFormatting>
  <conditionalFormatting sqref="B41:Z41">
    <cfRule type="cellIs" dxfId="510" priority="54" operator="equal">
      <formula>0</formula>
    </cfRule>
  </conditionalFormatting>
  <conditionalFormatting sqref="B28:Z28">
    <cfRule type="cellIs" dxfId="509" priority="53" operator="equal">
      <formula>0</formula>
    </cfRule>
  </conditionalFormatting>
  <conditionalFormatting sqref="B32:Z32">
    <cfRule type="cellIs" dxfId="508" priority="52" operator="equal">
      <formula>0</formula>
    </cfRule>
  </conditionalFormatting>
  <conditionalFormatting sqref="B43:Z50">
    <cfRule type="cellIs" dxfId="507" priority="50" operator="equal">
      <formula>0</formula>
    </cfRule>
  </conditionalFormatting>
  <conditionalFormatting sqref="B61:Z64">
    <cfRule type="cellIs" dxfId="506" priority="48" operator="equal">
      <formula>0</formula>
    </cfRule>
  </conditionalFormatting>
  <conditionalFormatting sqref="B66:Z68">
    <cfRule type="cellIs" dxfId="505" priority="47" operator="equal">
      <formula>0</formula>
    </cfRule>
  </conditionalFormatting>
  <conditionalFormatting sqref="B70:Z70">
    <cfRule type="cellIs" dxfId="504" priority="46" operator="equal">
      <formula>0</formula>
    </cfRule>
  </conditionalFormatting>
  <conditionalFormatting sqref="B72:Z72">
    <cfRule type="cellIs" dxfId="503" priority="45" operator="equal">
      <formula>0</formula>
    </cfRule>
  </conditionalFormatting>
  <conditionalFormatting sqref="B75:Z76">
    <cfRule type="cellIs" dxfId="502" priority="44" operator="equal">
      <formula>0</formula>
    </cfRule>
  </conditionalFormatting>
  <conditionalFormatting sqref="B79:Z86">
    <cfRule type="cellIs" dxfId="501" priority="43" operator="equal">
      <formula>0</formula>
    </cfRule>
  </conditionalFormatting>
  <conditionalFormatting sqref="F18">
    <cfRule type="cellIs" dxfId="500" priority="42" operator="equal">
      <formula>0</formula>
    </cfRule>
  </conditionalFormatting>
  <conditionalFormatting sqref="F20">
    <cfRule type="cellIs" dxfId="499" priority="41" operator="equal">
      <formula>0</formula>
    </cfRule>
  </conditionalFormatting>
  <conditionalFormatting sqref="F21">
    <cfRule type="cellIs" dxfId="498" priority="40" operator="equal">
      <formula>0</formula>
    </cfRule>
  </conditionalFormatting>
  <conditionalFormatting sqref="F22">
    <cfRule type="cellIs" dxfId="497" priority="39" operator="equal">
      <formula>0</formula>
    </cfRule>
  </conditionalFormatting>
  <conditionalFormatting sqref="E18">
    <cfRule type="cellIs" dxfId="496" priority="38" operator="equal">
      <formula>0</formula>
    </cfRule>
  </conditionalFormatting>
  <conditionalFormatting sqref="E20">
    <cfRule type="cellIs" dxfId="495" priority="37" operator="equal">
      <formula>0</formula>
    </cfRule>
  </conditionalFormatting>
  <conditionalFormatting sqref="E21">
    <cfRule type="cellIs" dxfId="494" priority="36" operator="equal">
      <formula>0</formula>
    </cfRule>
  </conditionalFormatting>
  <conditionalFormatting sqref="E22">
    <cfRule type="cellIs" dxfId="493" priority="35" operator="equal">
      <formula>0</formula>
    </cfRule>
  </conditionalFormatting>
  <conditionalFormatting sqref="D18">
    <cfRule type="cellIs" dxfId="492" priority="34" operator="equal">
      <formula>0</formula>
    </cfRule>
  </conditionalFormatting>
  <conditionalFormatting sqref="D20">
    <cfRule type="cellIs" dxfId="491" priority="33" operator="equal">
      <formula>0</formula>
    </cfRule>
  </conditionalFormatting>
  <conditionalFormatting sqref="D21">
    <cfRule type="cellIs" dxfId="490" priority="32" operator="equal">
      <formula>0</formula>
    </cfRule>
  </conditionalFormatting>
  <conditionalFormatting sqref="D22">
    <cfRule type="cellIs" dxfId="489" priority="31" operator="equal">
      <formula>0</formula>
    </cfRule>
  </conditionalFormatting>
  <conditionalFormatting sqref="C18">
    <cfRule type="cellIs" dxfId="488" priority="30" operator="equal">
      <formula>0</formula>
    </cfRule>
  </conditionalFormatting>
  <conditionalFormatting sqref="C20">
    <cfRule type="cellIs" dxfId="487" priority="29" operator="equal">
      <formula>0</formula>
    </cfRule>
  </conditionalFormatting>
  <conditionalFormatting sqref="C21">
    <cfRule type="cellIs" dxfId="486" priority="28" operator="equal">
      <formula>0</formula>
    </cfRule>
  </conditionalFormatting>
  <conditionalFormatting sqref="C22">
    <cfRule type="cellIs" dxfId="485" priority="27" operator="equal">
      <formula>0</formula>
    </cfRule>
  </conditionalFormatting>
  <conditionalFormatting sqref="G19:V19">
    <cfRule type="cellIs" dxfId="484" priority="16" operator="equal">
      <formula>0</formula>
    </cfRule>
  </conditionalFormatting>
  <conditionalFormatting sqref="F19">
    <cfRule type="cellIs" dxfId="483" priority="15" operator="equal">
      <formula>0</formula>
    </cfRule>
  </conditionalFormatting>
  <conditionalFormatting sqref="E19">
    <cfRule type="cellIs" dxfId="482" priority="14" operator="equal">
      <formula>0</formula>
    </cfRule>
  </conditionalFormatting>
  <conditionalFormatting sqref="D19">
    <cfRule type="cellIs" dxfId="481" priority="13" operator="equal">
      <formula>0</formula>
    </cfRule>
  </conditionalFormatting>
  <conditionalFormatting sqref="C19">
    <cfRule type="cellIs" dxfId="480" priority="12" operator="equal">
      <formula>0</formula>
    </cfRule>
  </conditionalFormatting>
  <conditionalFormatting sqref="G23:V23">
    <cfRule type="cellIs" dxfId="479" priority="11" operator="equal">
      <formula>0</formula>
    </cfRule>
  </conditionalFormatting>
  <conditionalFormatting sqref="F23">
    <cfRule type="cellIs" dxfId="478" priority="10" operator="equal">
      <formula>0</formula>
    </cfRule>
  </conditionalFormatting>
  <conditionalFormatting sqref="E23">
    <cfRule type="cellIs" dxfId="477" priority="9" operator="equal">
      <formula>0</formula>
    </cfRule>
  </conditionalFormatting>
  <conditionalFormatting sqref="D23">
    <cfRule type="cellIs" dxfId="476" priority="8" operator="equal">
      <formula>0</formula>
    </cfRule>
  </conditionalFormatting>
  <conditionalFormatting sqref="C23">
    <cfRule type="cellIs" dxfId="475" priority="7" operator="equal">
      <formula>0</formula>
    </cfRule>
  </conditionalFormatting>
  <conditionalFormatting sqref="G24:V24">
    <cfRule type="cellIs" dxfId="474" priority="6" operator="equal">
      <formula>0</formula>
    </cfRule>
  </conditionalFormatting>
  <conditionalFormatting sqref="F24">
    <cfRule type="cellIs" dxfId="473" priority="5" operator="equal">
      <formula>0</formula>
    </cfRule>
  </conditionalFormatting>
  <conditionalFormatting sqref="E24">
    <cfRule type="cellIs" dxfId="472" priority="4" operator="equal">
      <formula>0</formula>
    </cfRule>
  </conditionalFormatting>
  <conditionalFormatting sqref="D24">
    <cfRule type="cellIs" dxfId="471" priority="3" operator="equal">
      <formula>0</formula>
    </cfRule>
  </conditionalFormatting>
  <conditionalFormatting sqref="C24">
    <cfRule type="cellIs" dxfId="470" priority="2" operator="equal">
      <formula>0</formula>
    </cfRule>
  </conditionalFormatting>
  <conditionalFormatting sqref="C10:V10">
    <cfRule type="cellIs" dxfId="469" priority="1" operator="equal">
      <formula>0</formula>
    </cfRule>
  </conditionalFormatting>
  <pageMargins left="0.68" right="0.61" top="0.44" bottom="0.19685039370078741" header="0.24" footer="0.11811023622047245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60"/>
  <sheetViews>
    <sheetView zoomScale="85" zoomScaleNormal="85" zoomScaleSheetLayoutView="70" workbookViewId="0">
      <selection activeCell="A53" sqref="A53"/>
    </sheetView>
  </sheetViews>
  <sheetFormatPr defaultColWidth="0" defaultRowHeight="12.75" zeroHeight="1" outlineLevelCol="1" x14ac:dyDescent="0.2"/>
  <cols>
    <col min="1" max="1" width="36.42578125" bestFit="1" customWidth="1"/>
    <col min="2" max="2" width="14.140625" style="7" customWidth="1"/>
    <col min="3" max="4" width="9.28515625" style="7" customWidth="1" outlineLevel="1"/>
    <col min="5" max="5" width="9.28515625" style="7" bestFit="1" customWidth="1"/>
    <col min="6" max="6" width="9.28515625" style="7" customWidth="1"/>
    <col min="7" max="9" width="9.28515625" style="12" bestFit="1" customWidth="1"/>
    <col min="10" max="18" width="9.28515625" bestFit="1" customWidth="1"/>
    <col min="19" max="22" width="9.28515625" customWidth="1"/>
    <col min="23" max="26" width="9.28515625" hidden="1" customWidth="1"/>
    <col min="27" max="16384" width="9.140625" hidden="1"/>
  </cols>
  <sheetData>
    <row r="1" spans="1:26" ht="20.25" x14ac:dyDescent="0.3">
      <c r="A1" s="33" t="s">
        <v>88</v>
      </c>
      <c r="Q1" s="156">
        <f>B24/B23</f>
        <v>3.9999999999999994E-2</v>
      </c>
      <c r="R1" s="155">
        <v>0.04</v>
      </c>
    </row>
    <row r="2" spans="1:26" x14ac:dyDescent="0.2">
      <c r="A2" s="50" t="s">
        <v>87</v>
      </c>
      <c r="B2" s="53"/>
      <c r="C2" s="53"/>
      <c r="D2" s="53"/>
      <c r="E2" s="53"/>
      <c r="F2" s="53"/>
      <c r="G2" s="68"/>
      <c r="H2" s="23"/>
      <c r="I2" s="23"/>
      <c r="J2" s="24"/>
    </row>
    <row r="3" spans="1:26" x14ac:dyDescent="0.2">
      <c r="A3" s="50"/>
      <c r="B3" s="50"/>
      <c r="C3" s="50"/>
      <c r="D3" s="50"/>
      <c r="E3" s="50"/>
      <c r="F3" s="50"/>
      <c r="G3" s="50"/>
      <c r="H3"/>
      <c r="I3"/>
    </row>
    <row r="4" spans="1:26" x14ac:dyDescent="0.2">
      <c r="A4" s="60" t="s">
        <v>56</v>
      </c>
      <c r="B4" s="55">
        <v>38</v>
      </c>
      <c r="C4" s="53"/>
      <c r="D4" s="53"/>
      <c r="E4" s="53"/>
      <c r="F4" s="50"/>
      <c r="G4" s="95"/>
      <c r="H4" s="26"/>
      <c r="I4" s="26"/>
    </row>
    <row r="5" spans="1:26" x14ac:dyDescent="0.2">
      <c r="A5" s="60" t="s">
        <v>48</v>
      </c>
      <c r="B5" s="37">
        <f>ИДиР!C7</f>
        <v>4538.25</v>
      </c>
      <c r="C5" s="132"/>
      <c r="D5" s="53"/>
      <c r="E5" s="53"/>
      <c r="F5" s="50"/>
      <c r="G5" s="50"/>
      <c r="H5"/>
      <c r="I5"/>
    </row>
    <row r="6" spans="1:26" x14ac:dyDescent="0.2">
      <c r="A6" s="60" t="s">
        <v>151</v>
      </c>
      <c r="B6" s="37">
        <f>ИДиР!C9</f>
        <v>172453.5</v>
      </c>
      <c r="C6" s="132"/>
      <c r="D6" s="53"/>
      <c r="E6" s="53"/>
      <c r="F6" s="50"/>
      <c r="G6" s="50"/>
      <c r="H6"/>
      <c r="I6"/>
      <c r="N6" s="52"/>
    </row>
    <row r="7" spans="1:26" x14ac:dyDescent="0.2">
      <c r="A7" s="70" t="s">
        <v>149</v>
      </c>
      <c r="B7" s="71">
        <f>B6*ИДиР!C11</f>
        <v>172453.5</v>
      </c>
      <c r="C7" s="53"/>
      <c r="D7" s="53"/>
      <c r="E7" s="53"/>
      <c r="F7" s="72"/>
      <c r="G7" s="72"/>
      <c r="H7" s="52"/>
      <c r="I7" s="52"/>
      <c r="J7" s="52"/>
      <c r="K7" s="52"/>
      <c r="M7" s="52"/>
    </row>
    <row r="8" spans="1:26" x14ac:dyDescent="0.2">
      <c r="A8" s="60" t="s">
        <v>49</v>
      </c>
      <c r="B8" s="73">
        <v>0</v>
      </c>
      <c r="C8" s="53"/>
      <c r="D8" s="53"/>
      <c r="E8" s="53"/>
      <c r="F8" s="50"/>
      <c r="G8" s="50"/>
      <c r="H8"/>
      <c r="M8" s="52"/>
    </row>
    <row r="9" spans="1:26" x14ac:dyDescent="0.2">
      <c r="B9" s="138"/>
    </row>
    <row r="10" spans="1:26" s="63" customFormat="1" ht="15" x14ac:dyDescent="0.25">
      <c r="A10" s="61" t="s">
        <v>59</v>
      </c>
      <c r="B10" s="62"/>
      <c r="C10" s="194">
        <v>2020</v>
      </c>
      <c r="D10" s="194"/>
      <c r="E10" s="194"/>
      <c r="F10" s="194"/>
      <c r="G10" s="194">
        <f>C10+1</f>
        <v>2021</v>
      </c>
      <c r="H10" s="194"/>
      <c r="I10" s="194"/>
      <c r="J10" s="194"/>
      <c r="K10" s="194">
        <f>G10+1</f>
        <v>2022</v>
      </c>
      <c r="L10" s="194"/>
      <c r="M10" s="194"/>
      <c r="N10" s="194"/>
      <c r="O10" s="194">
        <f>K10+1</f>
        <v>2023</v>
      </c>
      <c r="P10" s="194"/>
      <c r="Q10" s="194"/>
      <c r="R10" s="194"/>
      <c r="S10" s="194">
        <f>O10+1</f>
        <v>2024</v>
      </c>
      <c r="T10" s="194"/>
      <c r="U10" s="194"/>
      <c r="V10" s="194"/>
      <c r="W10" s="194">
        <f>S10+1</f>
        <v>2025</v>
      </c>
      <c r="X10" s="194"/>
      <c r="Y10" s="194"/>
      <c r="Z10" s="194"/>
    </row>
    <row r="11" spans="1:26" s="63" customFormat="1" ht="15" x14ac:dyDescent="0.25">
      <c r="A11" s="64" t="str">
        <f>A1</f>
        <v>Финансовая модель реализации проектов строительства жилья специализированным застройщиком</v>
      </c>
      <c r="B11" s="62"/>
      <c r="C11" s="62" t="s">
        <v>15</v>
      </c>
      <c r="D11" s="62" t="s">
        <v>16</v>
      </c>
      <c r="E11" s="62" t="s">
        <v>17</v>
      </c>
      <c r="F11" s="62" t="s">
        <v>18</v>
      </c>
      <c r="G11" s="62" t="s">
        <v>15</v>
      </c>
      <c r="H11" s="62" t="s">
        <v>16</v>
      </c>
      <c r="I11" s="62" t="s">
        <v>17</v>
      </c>
      <c r="J11" s="62" t="s">
        <v>18</v>
      </c>
      <c r="K11" s="62" t="s">
        <v>15</v>
      </c>
      <c r="L11" s="62" t="s">
        <v>16</v>
      </c>
      <c r="M11" s="62" t="s">
        <v>17</v>
      </c>
      <c r="N11" s="62" t="s">
        <v>18</v>
      </c>
      <c r="O11" s="62" t="s">
        <v>15</v>
      </c>
      <c r="P11" s="62" t="s">
        <v>16</v>
      </c>
      <c r="Q11" s="62" t="s">
        <v>17</v>
      </c>
      <c r="R11" s="62" t="s">
        <v>18</v>
      </c>
      <c r="S11" s="62" t="s">
        <v>15</v>
      </c>
      <c r="T11" s="62" t="s">
        <v>16</v>
      </c>
      <c r="U11" s="62" t="s">
        <v>17</v>
      </c>
      <c r="V11" s="62" t="s">
        <v>18</v>
      </c>
      <c r="W11" s="62" t="s">
        <v>15</v>
      </c>
      <c r="X11" s="62" t="s">
        <v>16</v>
      </c>
      <c r="Y11" s="62" t="s">
        <v>17</v>
      </c>
      <c r="Z11" s="62" t="s">
        <v>18</v>
      </c>
    </row>
    <row r="12" spans="1:26" x14ac:dyDescent="0.2">
      <c r="A12" s="36" t="s">
        <v>52</v>
      </c>
      <c r="B12" s="34"/>
      <c r="C12" s="35"/>
      <c r="D12" s="35"/>
      <c r="E12" s="35"/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53</v>
      </c>
      <c r="L12" s="35" t="s">
        <v>53</v>
      </c>
      <c r="M12" s="35" t="s">
        <v>53</v>
      </c>
      <c r="N12" s="35" t="s">
        <v>53</v>
      </c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x14ac:dyDescent="0.2">
      <c r="A13" s="36" t="s">
        <v>83</v>
      </c>
      <c r="B13" s="34"/>
      <c r="C13" s="35"/>
      <c r="D13" s="35"/>
      <c r="E13" s="35"/>
      <c r="F13" s="35" t="s">
        <v>54</v>
      </c>
      <c r="G13" s="35" t="s">
        <v>54</v>
      </c>
      <c r="H13" s="35" t="s">
        <v>54</v>
      </c>
      <c r="I13" s="35" t="s">
        <v>54</v>
      </c>
      <c r="J13" s="35" t="s">
        <v>54</v>
      </c>
      <c r="K13" s="35" t="s">
        <v>55</v>
      </c>
      <c r="L13" s="35" t="s">
        <v>55</v>
      </c>
      <c r="M13" s="35" t="s">
        <v>55</v>
      </c>
      <c r="N13" s="35" t="s">
        <v>55</v>
      </c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  <row r="14" spans="1:26" x14ac:dyDescent="0.2">
      <c r="A14" s="36" t="s">
        <v>45</v>
      </c>
      <c r="B14" s="51">
        <f>B17/B5</f>
        <v>0</v>
      </c>
      <c r="C14" s="35">
        <v>57.3</v>
      </c>
      <c r="D14" s="35">
        <f>IF(D12="С",C14*(1+ИДиР!$B$26/4),IF(D12="Э",MAX(C14*(1+ИДиР!$B$27/4),51),MAX(51,C14)))</f>
        <v>57.3</v>
      </c>
      <c r="E14" s="35">
        <f>IF(E12="С",D14*(1+ИДиР!$B$26/4),IF(E12="Э",MAX(D14*(1+ИДиР!$B$27/4),51),MAX(51,D14)))</f>
        <v>57.3</v>
      </c>
      <c r="F14" s="35">
        <f>IF(F12="С",E14*(1+ИДиР!$B$26/4),IF(F12="Э",MAX(E14*(1+ИДиР!$B$27/4),51),MAX(51,E14)))</f>
        <v>58.589249999999993</v>
      </c>
      <c r="G14" s="35">
        <f>IF(G12="С",F14*(1+ИДиР!$B$26/4),IF(G12="Э",MAX(F14*(1+ИДиР!$B$27/4),51),MAX(51,F14)))</f>
        <v>59.907508124999993</v>
      </c>
      <c r="H14" s="35">
        <f>IF(H12="С",G14*(1+ИДиР!$B$26/4),IF(H12="Э",MAX(G14*(1+ИДиР!$B$27/4),51),MAX(51,G14)))</f>
        <v>61.25542705781249</v>
      </c>
      <c r="I14" s="35">
        <f>IF(I12="С",H14*(1+ИДиР!$B$26/4),IF(I12="Э",MAX(H14*(1+ИДиР!$B$27/4),51),MAX(51,H14)))</f>
        <v>62.633674166613268</v>
      </c>
      <c r="J14" s="35">
        <f>IF(J12="С",I14*(1+ИДиР!$B$26/4),IF(J12="Э",MAX(I14*(1+ИДиР!$B$27/4),51),MAX(51,I14)))</f>
        <v>64.042931835362069</v>
      </c>
      <c r="K14" s="35">
        <f>IF(K12="С",J14*(1+ИДиР!$B$26/4),IF(K12="Э",MAX(J14*(1+ИДиР!$B$27/4),51),MAX(51,J14)))</f>
        <v>65.003575812892493</v>
      </c>
      <c r="L14" s="35">
        <f>IF(L12="С",K14*(1+ИДиР!$B$26/4),IF(L12="Э",MAX(K14*(1+ИДиР!$B$27/4),51),MAX(51,K14)))</f>
        <v>65.978629450085876</v>
      </c>
      <c r="M14" s="35">
        <f>IF(M12="С",L14*(1+ИДиР!$B$26/4),IF(M12="Э",MAX(L14*(1+ИДиР!$B$27/4),51),MAX(51,L14)))</f>
        <v>66.968308891837154</v>
      </c>
      <c r="N14" s="35">
        <f>IF(N12="С",M14*(1+ИДиР!$B$26/4),IF(N12="Э",MAX(M14*(1+ИДиР!$B$27/4),51),MAX(51,M14)))</f>
        <v>67.97283352521471</v>
      </c>
      <c r="O14" s="35">
        <f>IF(O12="С",N14*(1+ИДиР!$B$26/4),IF(O12="Э",MAX(N14*(1+ИДиР!$B$27/4),51),MAX(51,N14)))</f>
        <v>67.97283352521471</v>
      </c>
      <c r="P14" s="35">
        <f>IF(P12="С",O14*(1+ИДиР!$B$26/4),IF(P12="Э",MAX(O14*(1+ИДиР!$B$27/4),51),MAX(51,O14)))</f>
        <v>67.97283352521471</v>
      </c>
      <c r="Q14" s="35">
        <f>IF(Q12="С",P14*(1+ИДиР!$B$26/4),IF(Q12="Э",MAX(P14*(1+ИДиР!$B$27/4),51),MAX(51,P14)))</f>
        <v>67.97283352521471</v>
      </c>
      <c r="R14" s="35">
        <f>IF(R12="С",Q14*(1+ИДиР!$B$26/4),IF(R12="Э",MAX(Q14*(1+ИДиР!$B$27/4),51),MAX(51,Q14)))</f>
        <v>67.97283352521471</v>
      </c>
      <c r="S14" s="35">
        <f>IF(S12="С",R14*(1+ИДиР!$B$26/4),IF(S12="Э",MAX(R14*(1+ИДиР!$B$27/4),51),MAX(51,R14)))</f>
        <v>67.97283352521471</v>
      </c>
      <c r="T14" s="35">
        <f>IF(T12="С",S14*(1+ИДиР!$B$26/4),IF(T12="Э",MAX(S14*(1+ИДиР!$B$27/4),51),MAX(51,S14)))</f>
        <v>67.97283352521471</v>
      </c>
      <c r="U14" s="35">
        <f>IF(U12="С",T14*(1+ИДиР!$B$26/4),IF(U12="Э",MAX(T14*(1+ИДиР!$B$27/4),51),MAX(51,T14)))</f>
        <v>67.97283352521471</v>
      </c>
      <c r="V14" s="35">
        <f>IF(V12="С",U14*(1+ИДиР!$B$26/4),IF(V12="Э",MAX(U14*(1+ИДиР!$B$27/4),51),MAX(51,U14)))</f>
        <v>67.97283352521471</v>
      </c>
      <c r="W14" s="35">
        <f>Свод!W9</f>
        <v>72.66500778213998</v>
      </c>
      <c r="X14" s="35">
        <f>Свод!X9</f>
        <v>74.299970457238132</v>
      </c>
      <c r="Y14" s="35">
        <f>Свод!Y9</f>
        <v>75.971719792525988</v>
      </c>
      <c r="Z14" s="35">
        <f>Свод!Z9</f>
        <v>77.681083487857819</v>
      </c>
    </row>
    <row r="15" spans="1:26" x14ac:dyDescent="0.2">
      <c r="A15" s="36" t="s">
        <v>158</v>
      </c>
      <c r="B15" s="174">
        <f t="shared" ref="B15:B20" si="0">SUM(C15:Z15)</f>
        <v>4538.25</v>
      </c>
      <c r="C15" s="173">
        <f>IF(C13="Р",$B$5/COUNTIF(13:13,"Р"),0)</f>
        <v>0</v>
      </c>
      <c r="D15" s="173">
        <f t="shared" ref="D15:V15" si="1">IF(D13="Р",$B$5/COUNTIF(13:13,"Р"),0)</f>
        <v>0</v>
      </c>
      <c r="E15" s="173">
        <f t="shared" si="1"/>
        <v>0</v>
      </c>
      <c r="F15" s="173">
        <f t="shared" si="1"/>
        <v>0</v>
      </c>
      <c r="G15" s="173">
        <f t="shared" si="1"/>
        <v>0</v>
      </c>
      <c r="H15" s="173">
        <f t="shared" si="1"/>
        <v>0</v>
      </c>
      <c r="I15" s="173">
        <f t="shared" si="1"/>
        <v>0</v>
      </c>
      <c r="J15" s="173">
        <f t="shared" si="1"/>
        <v>0</v>
      </c>
      <c r="K15" s="173">
        <f t="shared" si="1"/>
        <v>1134.5625</v>
      </c>
      <c r="L15" s="173">
        <f t="shared" si="1"/>
        <v>1134.5625</v>
      </c>
      <c r="M15" s="173">
        <f t="shared" si="1"/>
        <v>1134.5625</v>
      </c>
      <c r="N15" s="173">
        <f t="shared" si="1"/>
        <v>1134.5625</v>
      </c>
      <c r="O15" s="173">
        <f t="shared" si="1"/>
        <v>0</v>
      </c>
      <c r="P15" s="173">
        <f t="shared" si="1"/>
        <v>0</v>
      </c>
      <c r="Q15" s="173">
        <f t="shared" si="1"/>
        <v>0</v>
      </c>
      <c r="R15" s="173">
        <f t="shared" si="1"/>
        <v>0</v>
      </c>
      <c r="S15" s="173">
        <f t="shared" si="1"/>
        <v>0</v>
      </c>
      <c r="T15" s="173">
        <f t="shared" si="1"/>
        <v>0</v>
      </c>
      <c r="U15" s="173">
        <f t="shared" si="1"/>
        <v>0</v>
      </c>
      <c r="V15" s="173">
        <f t="shared" si="1"/>
        <v>0</v>
      </c>
      <c r="W15" s="35"/>
      <c r="X15" s="35"/>
      <c r="Y15" s="35"/>
      <c r="Z15" s="35"/>
    </row>
    <row r="16" spans="1:26" s="44" customFormat="1" x14ac:dyDescent="0.2">
      <c r="A16" s="43" t="s">
        <v>12</v>
      </c>
      <c r="B16" s="49">
        <f t="shared" si="0"/>
        <v>179351.63999999996</v>
      </c>
      <c r="C16" s="49">
        <f t="shared" ref="C16:V16" si="2">SUM(C17:C20)</f>
        <v>0</v>
      </c>
      <c r="D16" s="49">
        <f t="shared" si="2"/>
        <v>0</v>
      </c>
      <c r="E16" s="49">
        <f t="shared" si="2"/>
        <v>0</v>
      </c>
      <c r="F16" s="49">
        <f t="shared" si="2"/>
        <v>35870.327999999994</v>
      </c>
      <c r="G16" s="49">
        <f t="shared" si="2"/>
        <v>35870.327999999994</v>
      </c>
      <c r="H16" s="49">
        <f t="shared" si="2"/>
        <v>35870.327999999994</v>
      </c>
      <c r="I16" s="49">
        <f t="shared" si="2"/>
        <v>35870.327999999994</v>
      </c>
      <c r="J16" s="49">
        <f t="shared" si="2"/>
        <v>35870.327999999994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9">
        <f t="shared" si="2"/>
        <v>0</v>
      </c>
      <c r="Q16" s="49">
        <f t="shared" si="2"/>
        <v>0</v>
      </c>
      <c r="R16" s="49">
        <f t="shared" si="2"/>
        <v>0</v>
      </c>
      <c r="S16" s="49">
        <f t="shared" si="2"/>
        <v>0</v>
      </c>
      <c r="T16" s="49">
        <f t="shared" si="2"/>
        <v>0</v>
      </c>
      <c r="U16" s="49">
        <f t="shared" si="2"/>
        <v>0</v>
      </c>
      <c r="V16" s="49">
        <f t="shared" si="2"/>
        <v>0</v>
      </c>
      <c r="W16" s="49">
        <f t="shared" ref="W16:Z16" si="3">SUM(W17:W20)</f>
        <v>0</v>
      </c>
      <c r="X16" s="49">
        <f t="shared" si="3"/>
        <v>0</v>
      </c>
      <c r="Y16" s="49">
        <f t="shared" si="3"/>
        <v>0</v>
      </c>
      <c r="Z16" s="49">
        <f t="shared" si="3"/>
        <v>0</v>
      </c>
    </row>
    <row r="17" spans="1:26" x14ac:dyDescent="0.2">
      <c r="A17" s="9" t="s">
        <v>44</v>
      </c>
      <c r="B17" s="4">
        <f t="shared" si="0"/>
        <v>0</v>
      </c>
      <c r="C17" s="38">
        <f>IF(C13="Р",$B$5*C14/COUNTIF(13:13,"Р"),0)*0</f>
        <v>0</v>
      </c>
      <c r="D17" s="38">
        <f t="shared" ref="D17:V17" si="4">IF(D13="Р",$B$5*D14/COUNTIF(13:13,"Р"),0)*0</f>
        <v>0</v>
      </c>
      <c r="E17" s="38">
        <f t="shared" si="4"/>
        <v>0</v>
      </c>
      <c r="F17" s="38">
        <f t="shared" si="4"/>
        <v>0</v>
      </c>
      <c r="G17" s="38">
        <f t="shared" si="4"/>
        <v>0</v>
      </c>
      <c r="H17" s="38">
        <f t="shared" si="4"/>
        <v>0</v>
      </c>
      <c r="I17" s="38">
        <f t="shared" si="4"/>
        <v>0</v>
      </c>
      <c r="J17" s="38">
        <f t="shared" si="4"/>
        <v>0</v>
      </c>
      <c r="K17" s="38">
        <f t="shared" si="4"/>
        <v>0</v>
      </c>
      <c r="L17" s="38">
        <f t="shared" si="4"/>
        <v>0</v>
      </c>
      <c r="M17" s="38">
        <f t="shared" si="4"/>
        <v>0</v>
      </c>
      <c r="N17" s="38">
        <f t="shared" si="4"/>
        <v>0</v>
      </c>
      <c r="O17" s="38">
        <f t="shared" si="4"/>
        <v>0</v>
      </c>
      <c r="P17" s="38">
        <f t="shared" si="4"/>
        <v>0</v>
      </c>
      <c r="Q17" s="38">
        <f t="shared" si="4"/>
        <v>0</v>
      </c>
      <c r="R17" s="38">
        <f t="shared" si="4"/>
        <v>0</v>
      </c>
      <c r="S17" s="38">
        <f t="shared" si="4"/>
        <v>0</v>
      </c>
      <c r="T17" s="38">
        <f t="shared" si="4"/>
        <v>0</v>
      </c>
      <c r="U17" s="38">
        <f t="shared" si="4"/>
        <v>0</v>
      </c>
      <c r="V17" s="38">
        <f t="shared" si="4"/>
        <v>0</v>
      </c>
      <c r="W17" s="38">
        <f t="shared" ref="W17:Z17" si="5">IF(W13="Р",$B$5*W14/COUNTIF(13:13,"Р"),0)</f>
        <v>0</v>
      </c>
      <c r="X17" s="38">
        <f t="shared" si="5"/>
        <v>0</v>
      </c>
      <c r="Y17" s="38">
        <f t="shared" si="5"/>
        <v>0</v>
      </c>
      <c r="Z17" s="38">
        <f t="shared" si="5"/>
        <v>0</v>
      </c>
    </row>
    <row r="18" spans="1:26" x14ac:dyDescent="0.2">
      <c r="A18" s="9" t="s">
        <v>39</v>
      </c>
      <c r="B18" s="4">
        <f t="shared" si="0"/>
        <v>0</v>
      </c>
      <c r="C18" s="39">
        <f>B44*ИДиР!$B$22/4</f>
        <v>0</v>
      </c>
      <c r="D18" s="39">
        <f>C44*ИДиР!$B$22/4</f>
        <v>0</v>
      </c>
      <c r="E18" s="39">
        <f>D44*ИДиР!$B$22/4</f>
        <v>0</v>
      </c>
      <c r="F18" s="39">
        <f>E44*ИДиР!$B$22/4</f>
        <v>0</v>
      </c>
      <c r="G18" s="39">
        <f>F44*ИДиР!$B$22/4</f>
        <v>0</v>
      </c>
      <c r="H18" s="39">
        <f>G44*ИДиР!$B$22/4</f>
        <v>0</v>
      </c>
      <c r="I18" s="39">
        <f>H44*ИДиР!$B$22/4</f>
        <v>0</v>
      </c>
      <c r="J18" s="39">
        <f>I44*ИДиР!$B$22/4</f>
        <v>0</v>
      </c>
      <c r="K18" s="39">
        <f>J44*ИДиР!$B$22/4</f>
        <v>0</v>
      </c>
      <c r="L18" s="39">
        <f>K44*ИДиР!$B$22/4</f>
        <v>0</v>
      </c>
      <c r="M18" s="39">
        <f>L44*ИДиР!$B$22/4</f>
        <v>0</v>
      </c>
      <c r="N18" s="39">
        <f>M44*ИДиР!$B$22/4</f>
        <v>0</v>
      </c>
      <c r="O18" s="39">
        <f>N44*ИДиР!$B$22/4</f>
        <v>0</v>
      </c>
      <c r="P18" s="39">
        <f>O44*ИДиР!$B$22/4</f>
        <v>0</v>
      </c>
      <c r="Q18" s="39">
        <f>P44*ИДиР!$B$22/4</f>
        <v>0</v>
      </c>
      <c r="R18" s="39">
        <f>Q44*ИДиР!$B$22/4</f>
        <v>0</v>
      </c>
      <c r="S18" s="39">
        <f>R44*ИДиР!$B$22/4</f>
        <v>0</v>
      </c>
      <c r="T18" s="39">
        <f>S44*ИДиР!$B$22/4</f>
        <v>0</v>
      </c>
      <c r="U18" s="39">
        <f>T44*ИДиР!$B$22/4</f>
        <v>0</v>
      </c>
      <c r="V18" s="39">
        <f>U44*ИДиР!$B$22/4</f>
        <v>0</v>
      </c>
      <c r="W18" s="39">
        <f>V44*ИДиР!$B$22/4</f>
        <v>0</v>
      </c>
      <c r="X18" s="39">
        <f>W44*ИДиР!$B$22/4</f>
        <v>0</v>
      </c>
      <c r="Y18" s="39">
        <f>X44*ИДиР!$B$22/4</f>
        <v>0</v>
      </c>
      <c r="Z18" s="39">
        <f>Y44*ИДиР!$B$22/4</f>
        <v>0</v>
      </c>
    </row>
    <row r="19" spans="1:26" x14ac:dyDescent="0.2">
      <c r="A19" s="9" t="s">
        <v>20</v>
      </c>
      <c r="B19" s="4">
        <f t="shared" si="0"/>
        <v>179351.63999999996</v>
      </c>
      <c r="C19" s="38"/>
      <c r="D19" s="38"/>
      <c r="E19" s="38">
        <f t="shared" ref="E19:F19" si="6">IF(E13="У",-E22-E20,0)</f>
        <v>0</v>
      </c>
      <c r="F19" s="38">
        <f t="shared" si="6"/>
        <v>35870.327999999994</v>
      </c>
      <c r="G19" s="38">
        <f>IF(G13="У",-G22-G20,0)</f>
        <v>35870.327999999994</v>
      </c>
      <c r="H19" s="38">
        <f t="shared" ref="H19:Z19" si="7">IF(H13="У",-H22-H20,0)</f>
        <v>35870.327999999994</v>
      </c>
      <c r="I19" s="38">
        <f t="shared" si="7"/>
        <v>35870.327999999994</v>
      </c>
      <c r="J19" s="38">
        <f t="shared" si="7"/>
        <v>35870.327999999994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7"/>
        <v>0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0</v>
      </c>
      <c r="V19" s="38">
        <f t="shared" si="7"/>
        <v>0</v>
      </c>
      <c r="W19" s="38">
        <f t="shared" si="7"/>
        <v>0</v>
      </c>
      <c r="X19" s="38">
        <f t="shared" si="7"/>
        <v>0</v>
      </c>
      <c r="Y19" s="38">
        <f t="shared" si="7"/>
        <v>0</v>
      </c>
      <c r="Z19" s="38">
        <f t="shared" si="7"/>
        <v>0</v>
      </c>
    </row>
    <row r="20" spans="1:26" x14ac:dyDescent="0.2">
      <c r="A20" s="9" t="s">
        <v>21</v>
      </c>
      <c r="B20" s="4">
        <f t="shared" si="0"/>
        <v>0</v>
      </c>
      <c r="C20" s="38"/>
      <c r="D20" s="38"/>
      <c r="E20" s="38">
        <f t="shared" ref="E20:Z20" si="8">IF(E13="У",$B$7*$B$8/COUNTIF(13:13,"У"),0)</f>
        <v>0</v>
      </c>
      <c r="F20" s="38">
        <f t="shared" si="8"/>
        <v>0</v>
      </c>
      <c r="G20" s="38">
        <f t="shared" si="8"/>
        <v>0</v>
      </c>
      <c r="H20" s="38">
        <f t="shared" si="8"/>
        <v>0</v>
      </c>
      <c r="I20" s="38">
        <f t="shared" si="8"/>
        <v>0</v>
      </c>
      <c r="J20" s="38">
        <f t="shared" si="8"/>
        <v>0</v>
      </c>
      <c r="K20" s="38">
        <f t="shared" si="8"/>
        <v>0</v>
      </c>
      <c r="L20" s="38">
        <f t="shared" si="8"/>
        <v>0</v>
      </c>
      <c r="M20" s="38">
        <f t="shared" si="8"/>
        <v>0</v>
      </c>
      <c r="N20" s="38">
        <f t="shared" si="8"/>
        <v>0</v>
      </c>
      <c r="O20" s="38">
        <f t="shared" si="8"/>
        <v>0</v>
      </c>
      <c r="P20" s="38">
        <f t="shared" si="8"/>
        <v>0</v>
      </c>
      <c r="Q20" s="38">
        <f t="shared" si="8"/>
        <v>0</v>
      </c>
      <c r="R20" s="38">
        <f t="shared" si="8"/>
        <v>0</v>
      </c>
      <c r="S20" s="38">
        <f t="shared" si="8"/>
        <v>0</v>
      </c>
      <c r="T20" s="38">
        <f t="shared" si="8"/>
        <v>0</v>
      </c>
      <c r="U20" s="38">
        <f t="shared" si="8"/>
        <v>0</v>
      </c>
      <c r="V20" s="38">
        <f t="shared" si="8"/>
        <v>0</v>
      </c>
      <c r="W20" s="38">
        <f t="shared" si="8"/>
        <v>0</v>
      </c>
      <c r="X20" s="38">
        <f t="shared" si="8"/>
        <v>0</v>
      </c>
      <c r="Y20" s="38">
        <f t="shared" si="8"/>
        <v>0</v>
      </c>
      <c r="Z20" s="38">
        <f t="shared" si="8"/>
        <v>0</v>
      </c>
    </row>
    <row r="21" spans="1:26" s="28" customFormat="1" x14ac:dyDescent="0.2">
      <c r="A21" s="29" t="s">
        <v>22</v>
      </c>
      <c r="B21" s="65"/>
      <c r="C21" s="42">
        <f t="shared" ref="C21:V21" si="9">B21+C20+C26</f>
        <v>0</v>
      </c>
      <c r="D21" s="42">
        <f t="shared" si="9"/>
        <v>0</v>
      </c>
      <c r="E21" s="42">
        <f t="shared" si="9"/>
        <v>0</v>
      </c>
      <c r="F21" s="42">
        <f t="shared" si="9"/>
        <v>0</v>
      </c>
      <c r="G21" s="42">
        <f t="shared" si="9"/>
        <v>0</v>
      </c>
      <c r="H21" s="42">
        <f t="shared" si="9"/>
        <v>0</v>
      </c>
      <c r="I21" s="42">
        <f t="shared" si="9"/>
        <v>0</v>
      </c>
      <c r="J21" s="42">
        <f t="shared" si="9"/>
        <v>0</v>
      </c>
      <c r="K21" s="42">
        <f t="shared" si="9"/>
        <v>0</v>
      </c>
      <c r="L21" s="42">
        <f t="shared" si="9"/>
        <v>0</v>
      </c>
      <c r="M21" s="42">
        <f t="shared" si="9"/>
        <v>0</v>
      </c>
      <c r="N21" s="42">
        <f t="shared" si="9"/>
        <v>0</v>
      </c>
      <c r="O21" s="42">
        <f t="shared" si="9"/>
        <v>0</v>
      </c>
      <c r="P21" s="42">
        <f t="shared" si="9"/>
        <v>0</v>
      </c>
      <c r="Q21" s="42">
        <f t="shared" si="9"/>
        <v>0</v>
      </c>
      <c r="R21" s="42">
        <f t="shared" si="9"/>
        <v>0</v>
      </c>
      <c r="S21" s="42">
        <f t="shared" si="9"/>
        <v>0</v>
      </c>
      <c r="T21" s="42">
        <f t="shared" si="9"/>
        <v>0</v>
      </c>
      <c r="U21" s="42">
        <f t="shared" si="9"/>
        <v>0</v>
      </c>
      <c r="V21" s="42">
        <f t="shared" si="9"/>
        <v>0</v>
      </c>
      <c r="W21" s="42">
        <f t="shared" ref="W21:Z21" si="10">V21+W20+W26</f>
        <v>0</v>
      </c>
      <c r="X21" s="42">
        <f t="shared" si="10"/>
        <v>0</v>
      </c>
      <c r="Y21" s="42">
        <f t="shared" si="10"/>
        <v>0</v>
      </c>
      <c r="Z21" s="42">
        <f t="shared" si="10"/>
        <v>0</v>
      </c>
    </row>
    <row r="22" spans="1:26" s="44" customFormat="1" x14ac:dyDescent="0.2">
      <c r="A22" s="43" t="s">
        <v>13</v>
      </c>
      <c r="B22" s="49">
        <f t="shared" ref="B22:B29" si="11">SUM(C22:Z22)</f>
        <v>-179351.63999999996</v>
      </c>
      <c r="C22" s="49">
        <f t="shared" ref="C22:V22" si="12">SUM(C23:C29)</f>
        <v>0</v>
      </c>
      <c r="D22" s="49">
        <f t="shared" si="12"/>
        <v>0</v>
      </c>
      <c r="E22" s="49">
        <f t="shared" si="12"/>
        <v>0</v>
      </c>
      <c r="F22" s="49">
        <f t="shared" si="12"/>
        <v>-35870.327999999994</v>
      </c>
      <c r="G22" s="49">
        <f t="shared" si="12"/>
        <v>-35870.327999999994</v>
      </c>
      <c r="H22" s="49">
        <f t="shared" si="12"/>
        <v>-35870.327999999994</v>
      </c>
      <c r="I22" s="49">
        <f t="shared" si="12"/>
        <v>-35870.327999999994</v>
      </c>
      <c r="J22" s="49">
        <f t="shared" si="12"/>
        <v>-35870.327999999994</v>
      </c>
      <c r="K22" s="49">
        <f t="shared" si="12"/>
        <v>0</v>
      </c>
      <c r="L22" s="49">
        <f t="shared" si="12"/>
        <v>0</v>
      </c>
      <c r="M22" s="49">
        <f t="shared" si="12"/>
        <v>0</v>
      </c>
      <c r="N22" s="49">
        <f t="shared" si="12"/>
        <v>0</v>
      </c>
      <c r="O22" s="49">
        <f t="shared" si="12"/>
        <v>0</v>
      </c>
      <c r="P22" s="49">
        <f t="shared" si="12"/>
        <v>0</v>
      </c>
      <c r="Q22" s="49">
        <f t="shared" si="12"/>
        <v>0</v>
      </c>
      <c r="R22" s="49">
        <f t="shared" si="12"/>
        <v>0</v>
      </c>
      <c r="S22" s="49">
        <f t="shared" si="12"/>
        <v>0</v>
      </c>
      <c r="T22" s="49">
        <f t="shared" si="12"/>
        <v>0</v>
      </c>
      <c r="U22" s="49">
        <f t="shared" si="12"/>
        <v>0</v>
      </c>
      <c r="V22" s="49">
        <f t="shared" si="12"/>
        <v>0</v>
      </c>
      <c r="W22" s="49">
        <f t="shared" ref="W22:Z22" si="13">SUM(W23:W27)</f>
        <v>0</v>
      </c>
      <c r="X22" s="49">
        <f t="shared" si="13"/>
        <v>0</v>
      </c>
      <c r="Y22" s="49">
        <f t="shared" si="13"/>
        <v>0</v>
      </c>
      <c r="Z22" s="49">
        <f t="shared" si="13"/>
        <v>0</v>
      </c>
    </row>
    <row r="23" spans="1:26" x14ac:dyDescent="0.2">
      <c r="A23" s="9" t="s">
        <v>23</v>
      </c>
      <c r="B23" s="4">
        <f t="shared" si="11"/>
        <v>-172453.5</v>
      </c>
      <c r="C23" s="38"/>
      <c r="D23" s="38"/>
      <c r="E23" s="38">
        <f t="shared" ref="E23:Z23" si="14">IF(E12="С",IF(E13="У",-$B$7/COUNTIF(13:13,"У"),-($B$6-$B$7)/(COUNTIF(12:12,"С")-COUNTIF(13:13,"У"))),0)</f>
        <v>0</v>
      </c>
      <c r="F23" s="38">
        <f t="shared" si="14"/>
        <v>-34490.699999999997</v>
      </c>
      <c r="G23" s="38">
        <f t="shared" si="14"/>
        <v>-34490.699999999997</v>
      </c>
      <c r="H23" s="38">
        <f t="shared" si="14"/>
        <v>-34490.699999999997</v>
      </c>
      <c r="I23" s="38">
        <f t="shared" si="14"/>
        <v>-34490.699999999997</v>
      </c>
      <c r="J23" s="38">
        <f t="shared" si="14"/>
        <v>-34490.699999999997</v>
      </c>
      <c r="K23" s="38">
        <f t="shared" si="14"/>
        <v>0</v>
      </c>
      <c r="L23" s="38">
        <f t="shared" si="14"/>
        <v>0</v>
      </c>
      <c r="M23" s="38">
        <f t="shared" si="14"/>
        <v>0</v>
      </c>
      <c r="N23" s="38">
        <f t="shared" si="14"/>
        <v>0</v>
      </c>
      <c r="O23" s="38">
        <f t="shared" si="14"/>
        <v>0</v>
      </c>
      <c r="P23" s="38">
        <f t="shared" si="14"/>
        <v>0</v>
      </c>
      <c r="Q23" s="38">
        <f t="shared" si="14"/>
        <v>0</v>
      </c>
      <c r="R23" s="38">
        <f t="shared" si="14"/>
        <v>0</v>
      </c>
      <c r="S23" s="38">
        <f t="shared" si="14"/>
        <v>0</v>
      </c>
      <c r="T23" s="38">
        <f t="shared" si="14"/>
        <v>0</v>
      </c>
      <c r="U23" s="38">
        <f t="shared" si="14"/>
        <v>0</v>
      </c>
      <c r="V23" s="38">
        <f t="shared" si="14"/>
        <v>0</v>
      </c>
      <c r="W23" s="38">
        <f t="shared" si="14"/>
        <v>0</v>
      </c>
      <c r="X23" s="38">
        <f t="shared" si="14"/>
        <v>0</v>
      </c>
      <c r="Y23" s="38">
        <f t="shared" si="14"/>
        <v>0</v>
      </c>
      <c r="Z23" s="38">
        <f t="shared" si="14"/>
        <v>0</v>
      </c>
    </row>
    <row r="24" spans="1:26" x14ac:dyDescent="0.2">
      <c r="A24" s="9" t="s">
        <v>145</v>
      </c>
      <c r="B24" s="4">
        <f>SUM(C24:Z24)</f>
        <v>-6898.1399999999994</v>
      </c>
      <c r="C24" s="38">
        <f t="shared" ref="C24:R24" si="15">-C17*2%+C23*$R$1</f>
        <v>0</v>
      </c>
      <c r="D24" s="38">
        <f t="shared" si="15"/>
        <v>0</v>
      </c>
      <c r="E24" s="38">
        <f t="shared" si="15"/>
        <v>0</v>
      </c>
      <c r="F24" s="38">
        <f t="shared" si="15"/>
        <v>-1379.6279999999999</v>
      </c>
      <c r="G24" s="38">
        <f t="shared" si="15"/>
        <v>-1379.6279999999999</v>
      </c>
      <c r="H24" s="38">
        <f t="shared" si="15"/>
        <v>-1379.6279999999999</v>
      </c>
      <c r="I24" s="38">
        <f t="shared" si="15"/>
        <v>-1379.6279999999999</v>
      </c>
      <c r="J24" s="38">
        <f t="shared" si="15"/>
        <v>-1379.6279999999999</v>
      </c>
      <c r="K24" s="38">
        <f t="shared" si="15"/>
        <v>0</v>
      </c>
      <c r="L24" s="38">
        <f t="shared" si="15"/>
        <v>0</v>
      </c>
      <c r="M24" s="38">
        <f t="shared" si="15"/>
        <v>0</v>
      </c>
      <c r="N24" s="38">
        <f t="shared" si="15"/>
        <v>0</v>
      </c>
      <c r="O24" s="38">
        <f t="shared" si="15"/>
        <v>0</v>
      </c>
      <c r="P24" s="38">
        <f t="shared" si="15"/>
        <v>0</v>
      </c>
      <c r="Q24" s="38">
        <f t="shared" si="15"/>
        <v>0</v>
      </c>
      <c r="R24" s="38">
        <f t="shared" si="15"/>
        <v>0</v>
      </c>
      <c r="S24" s="38">
        <f t="shared" ref="S24:Z24" si="16">-S17*2%+S23*0.5933%</f>
        <v>0</v>
      </c>
      <c r="T24" s="38">
        <f t="shared" si="16"/>
        <v>0</v>
      </c>
      <c r="U24" s="38">
        <f t="shared" si="16"/>
        <v>0</v>
      </c>
      <c r="V24" s="38">
        <f t="shared" si="16"/>
        <v>0</v>
      </c>
      <c r="W24" s="38">
        <f t="shared" si="16"/>
        <v>0</v>
      </c>
      <c r="X24" s="38">
        <f t="shared" si="16"/>
        <v>0</v>
      </c>
      <c r="Y24" s="38">
        <f t="shared" si="16"/>
        <v>0</v>
      </c>
      <c r="Z24" s="38">
        <f t="shared" si="16"/>
        <v>0</v>
      </c>
    </row>
    <row r="25" spans="1:26" x14ac:dyDescent="0.2">
      <c r="A25" s="9" t="s">
        <v>46</v>
      </c>
      <c r="B25" s="4">
        <f t="shared" si="11"/>
        <v>0</v>
      </c>
      <c r="C25" s="38">
        <f t="shared" ref="C25:G25" si="17">-B37*C39/4</f>
        <v>0</v>
      </c>
      <c r="D25" s="38">
        <f t="shared" si="17"/>
        <v>0</v>
      </c>
      <c r="E25" s="38">
        <f t="shared" si="17"/>
        <v>0</v>
      </c>
      <c r="F25" s="38">
        <f t="shared" si="17"/>
        <v>0</v>
      </c>
      <c r="G25" s="38">
        <f t="shared" si="17"/>
        <v>0</v>
      </c>
      <c r="H25" s="38">
        <f>-G37*H39/4</f>
        <v>0</v>
      </c>
      <c r="I25" s="38">
        <f t="shared" ref="I25:V25" si="18">-H37*I39/4</f>
        <v>0</v>
      </c>
      <c r="J25" s="38">
        <f t="shared" si="18"/>
        <v>0</v>
      </c>
      <c r="K25" s="38">
        <f t="shared" si="18"/>
        <v>0</v>
      </c>
      <c r="L25" s="38">
        <f t="shared" si="18"/>
        <v>0</v>
      </c>
      <c r="M25" s="38">
        <f t="shared" si="18"/>
        <v>0</v>
      </c>
      <c r="N25" s="38">
        <f t="shared" si="18"/>
        <v>0</v>
      </c>
      <c r="O25" s="38">
        <f t="shared" si="18"/>
        <v>0</v>
      </c>
      <c r="P25" s="38">
        <f t="shared" si="18"/>
        <v>0</v>
      </c>
      <c r="Q25" s="38">
        <f t="shared" si="18"/>
        <v>0</v>
      </c>
      <c r="R25" s="38">
        <f t="shared" si="18"/>
        <v>0</v>
      </c>
      <c r="S25" s="38">
        <f t="shared" si="18"/>
        <v>0</v>
      </c>
      <c r="T25" s="38">
        <f t="shared" si="18"/>
        <v>0</v>
      </c>
      <c r="U25" s="38">
        <f t="shared" si="18"/>
        <v>0</v>
      </c>
      <c r="V25" s="38">
        <f t="shared" si="18"/>
        <v>0</v>
      </c>
      <c r="W25" s="38">
        <f>-V38*ИДиР!$B$20/4-(V37-V38)*ИДиР!$B$21/4</f>
        <v>0</v>
      </c>
      <c r="X25" s="38">
        <f>-W38*ИДиР!$B$20/4-(W37-W38)*ИДиР!$B$21/4</f>
        <v>0</v>
      </c>
      <c r="Y25" s="38">
        <f>-X38*ИДиР!$B$20/4-(X37-X38)*ИДиР!$B$21/4</f>
        <v>0</v>
      </c>
      <c r="Z25" s="38">
        <f>-Y38*ИДиР!$B$20/4-(Y37-Y38)*ИДиР!$B$21/4</f>
        <v>0</v>
      </c>
    </row>
    <row r="26" spans="1:26" x14ac:dyDescent="0.2">
      <c r="A26" s="9" t="s">
        <v>24</v>
      </c>
      <c r="B26" s="4">
        <f t="shared" si="11"/>
        <v>0</v>
      </c>
      <c r="C26" s="38"/>
      <c r="D26" s="38"/>
      <c r="E26" s="38">
        <f t="shared" ref="E26:Z26" si="19">IF(AND(E12="Э",D21&gt;0,D37=0),-$B$20,0)</f>
        <v>0</v>
      </c>
      <c r="F26" s="38">
        <f t="shared" si="19"/>
        <v>0</v>
      </c>
      <c r="G26" s="38">
        <f t="shared" si="19"/>
        <v>0</v>
      </c>
      <c r="H26" s="38">
        <f t="shared" si="19"/>
        <v>0</v>
      </c>
      <c r="I26" s="38">
        <f t="shared" si="19"/>
        <v>0</v>
      </c>
      <c r="J26" s="38">
        <f t="shared" si="19"/>
        <v>0</v>
      </c>
      <c r="K26" s="38">
        <f t="shared" si="19"/>
        <v>0</v>
      </c>
      <c r="L26" s="38">
        <f t="shared" si="19"/>
        <v>0</v>
      </c>
      <c r="M26" s="38">
        <f t="shared" si="19"/>
        <v>0</v>
      </c>
      <c r="N26" s="38">
        <f t="shared" si="19"/>
        <v>0</v>
      </c>
      <c r="O26" s="38">
        <f t="shared" si="19"/>
        <v>0</v>
      </c>
      <c r="P26" s="38">
        <f t="shared" si="19"/>
        <v>0</v>
      </c>
      <c r="Q26" s="38">
        <f t="shared" si="19"/>
        <v>0</v>
      </c>
      <c r="R26" s="38">
        <f t="shared" si="19"/>
        <v>0</v>
      </c>
      <c r="S26" s="38">
        <f t="shared" si="19"/>
        <v>0</v>
      </c>
      <c r="T26" s="38">
        <f t="shared" si="19"/>
        <v>0</v>
      </c>
      <c r="U26" s="38">
        <f t="shared" si="19"/>
        <v>0</v>
      </c>
      <c r="V26" s="38">
        <f t="shared" si="19"/>
        <v>0</v>
      </c>
      <c r="W26" s="38">
        <f t="shared" si="19"/>
        <v>0</v>
      </c>
      <c r="X26" s="38">
        <f t="shared" si="19"/>
        <v>0</v>
      </c>
      <c r="Y26" s="38">
        <f t="shared" si="19"/>
        <v>0</v>
      </c>
      <c r="Z26" s="38">
        <f t="shared" si="19"/>
        <v>0</v>
      </c>
    </row>
    <row r="27" spans="1:26" x14ac:dyDescent="0.2">
      <c r="A27" s="9" t="s">
        <v>25</v>
      </c>
      <c r="B27" s="4">
        <f t="shared" si="11"/>
        <v>0</v>
      </c>
      <c r="C27" s="38"/>
      <c r="D27" s="38"/>
      <c r="E27" s="38">
        <f>IF(E26&lt;0,-SUM($C21:E21)*7.5%*1.25/4,0)</f>
        <v>0</v>
      </c>
      <c r="F27" s="38">
        <f>IF(F26&lt;0,-SUM($C21:F21)*7.5%*1.25/4,0)</f>
        <v>0</v>
      </c>
      <c r="G27" s="38">
        <f>IF(G26&lt;0,-SUM($C21:G21)*ИДиР!$B$19/4,0)</f>
        <v>0</v>
      </c>
      <c r="H27" s="38">
        <f>IF(H26&lt;0,-SUM($C21:H21)*ИДиР!$B$19/4,0)</f>
        <v>0</v>
      </c>
      <c r="I27" s="38">
        <f>IF(I26&lt;0,-SUM($C21:I21)*ИДиР!$B$19/4,0)</f>
        <v>0</v>
      </c>
      <c r="J27" s="38">
        <f>IF(J26&lt;0,-SUM($C21:J21)*ИДиР!$B$19/4,0)</f>
        <v>0</v>
      </c>
      <c r="K27" s="38">
        <f>IF(K26&lt;0,-SUM($C21:K21)*ИДиР!$B$19/4,0)</f>
        <v>0</v>
      </c>
      <c r="L27" s="38">
        <f>IF(L26&lt;0,-SUM($C21:L21)*ИДиР!$B$19/4,0)</f>
        <v>0</v>
      </c>
      <c r="M27" s="38">
        <f>IF(M26&lt;0,-SUM($C21:M21)*ИДиР!$B$19/4,0)</f>
        <v>0</v>
      </c>
      <c r="N27" s="38">
        <f>IF(N26&lt;0,-SUM($C21:N21)*ИДиР!$B$19/4,0)</f>
        <v>0</v>
      </c>
      <c r="O27" s="38">
        <f>IF(O26&lt;0,-SUM($C21:O21)*ИДиР!$B$19/4,0)</f>
        <v>0</v>
      </c>
      <c r="P27" s="38">
        <f>IF(P26&lt;0,-SUM($C21:P21)*ИДиР!$B$19/4,0)</f>
        <v>0</v>
      </c>
      <c r="Q27" s="38">
        <f>IF(Q26&lt;0,-SUM($C21:Q21)*ИДиР!$B$19/4,0)</f>
        <v>0</v>
      </c>
      <c r="R27" s="38">
        <f>IF(R26&lt;0,-SUM($C21:R21)*ИДиР!$B$19/4,0)</f>
        <v>0</v>
      </c>
      <c r="S27" s="38">
        <f>IF(S26&lt;0,-SUM($C21:S21)*ИДиР!$B$19/4,0)</f>
        <v>0</v>
      </c>
      <c r="T27" s="38">
        <f>IF(T26&lt;0,-SUM($C21:T21)*ИДиР!$B$19/4,0)</f>
        <v>0</v>
      </c>
      <c r="U27" s="38">
        <f>IF(U26&lt;0,-SUM($C21:U21)*ИДиР!$B$19/4,0)</f>
        <v>0</v>
      </c>
      <c r="V27" s="38">
        <f>IF(V26&lt;0,-SUM($C21:V21)*ИДиР!$B$19/4,0)</f>
        <v>0</v>
      </c>
      <c r="W27" s="38">
        <f>IF(W26&lt;0,-SUM($C21:W21)*ИДиР!$B$19/4,0)</f>
        <v>0</v>
      </c>
      <c r="X27" s="38">
        <f>IF(X26&lt;0,-SUM($C21:X21)*ИДиР!$B$19/4,0)</f>
        <v>0</v>
      </c>
      <c r="Y27" s="38">
        <f>IF(Y26&lt;0,-SUM($C21:Y21)*ИДиР!$B$19/4,0)</f>
        <v>0</v>
      </c>
      <c r="Z27" s="38">
        <f>IF(Z26&lt;0,-SUM($C21:Z21)*ИДиР!$B$19/4,0)</f>
        <v>0</v>
      </c>
    </row>
    <row r="28" spans="1:26" x14ac:dyDescent="0.2">
      <c r="A28" s="9" t="s">
        <v>126</v>
      </c>
      <c r="B28" s="4">
        <f t="shared" si="11"/>
        <v>0</v>
      </c>
      <c r="C28" s="38"/>
      <c r="D28" s="38">
        <f t="shared" ref="D28:V28" si="20">IF(D13="Р",IF(AND(D13="Р",D12="С"),D23*1%,0),0)</f>
        <v>0</v>
      </c>
      <c r="E28" s="38">
        <f t="shared" si="20"/>
        <v>0</v>
      </c>
      <c r="F28" s="38">
        <f t="shared" si="20"/>
        <v>0</v>
      </c>
      <c r="G28" s="38">
        <f t="shared" si="20"/>
        <v>0</v>
      </c>
      <c r="H28" s="38">
        <f t="shared" si="20"/>
        <v>0</v>
      </c>
      <c r="I28" s="38">
        <f t="shared" si="20"/>
        <v>0</v>
      </c>
      <c r="J28" s="38">
        <f t="shared" si="20"/>
        <v>0</v>
      </c>
      <c r="K28" s="38">
        <f t="shared" si="20"/>
        <v>0</v>
      </c>
      <c r="L28" s="38">
        <f t="shared" si="20"/>
        <v>0</v>
      </c>
      <c r="M28" s="38">
        <f t="shared" si="20"/>
        <v>0</v>
      </c>
      <c r="N28" s="38">
        <f t="shared" si="20"/>
        <v>0</v>
      </c>
      <c r="O28" s="38">
        <f t="shared" si="20"/>
        <v>0</v>
      </c>
      <c r="P28" s="38">
        <f t="shared" si="20"/>
        <v>0</v>
      </c>
      <c r="Q28" s="38">
        <f t="shared" si="20"/>
        <v>0</v>
      </c>
      <c r="R28" s="38">
        <f t="shared" si="20"/>
        <v>0</v>
      </c>
      <c r="S28" s="38">
        <f t="shared" si="20"/>
        <v>0</v>
      </c>
      <c r="T28" s="38">
        <f t="shared" si="20"/>
        <v>0</v>
      </c>
      <c r="U28" s="38">
        <f t="shared" si="20"/>
        <v>0</v>
      </c>
      <c r="V28" s="38">
        <f t="shared" si="20"/>
        <v>0</v>
      </c>
      <c r="W28" s="38"/>
      <c r="X28" s="38"/>
      <c r="Y28" s="38"/>
      <c r="Z28" s="38"/>
    </row>
    <row r="29" spans="1:26" x14ac:dyDescent="0.2">
      <c r="A29" s="9" t="s">
        <v>125</v>
      </c>
      <c r="B29" s="4">
        <f t="shared" si="11"/>
        <v>0</v>
      </c>
      <c r="C29" s="38"/>
      <c r="D29" s="38">
        <f>IF(D13="Р",-(IF(C44+D16+SUM(D23:D28)&lt;0,($B$6-$B$7)*1%+SUM($C$29:C29),0)),0)</f>
        <v>0</v>
      </c>
      <c r="E29" s="38">
        <f>IF(E13="Р",-(IF(D44+E16+SUM(E23:E28)&lt;0,($B$6-$B$7)*1%+SUM($C$29:D29),0)),0)</f>
        <v>0</v>
      </c>
      <c r="F29" s="38">
        <f>IF(F13="Р",-(IF(E44+F16+SUM(F23:F28)&lt;0,($B$6-$B$7)*1%+SUM($C$29:E29),0)),0)</f>
        <v>0</v>
      </c>
      <c r="G29" s="38">
        <f>IF(G13="Р",-(IF(F44+G16+SUM(G23:G28)&lt;0,($B$6-$B$7)*1%+SUM($C$29:F29),0)),0)</f>
        <v>0</v>
      </c>
      <c r="H29" s="38">
        <f>IF(H13="Р",-(IF(G44+H16+SUM(H23:H28)&lt;0,($B$6-$B$7)*1%+SUM($C$29:G29),0)),0)</f>
        <v>0</v>
      </c>
      <c r="I29" s="38">
        <f>IF(I13="Р",-(IF(H44+I16+SUM(I23:I28)&lt;0,($B$6-$B$7)*1%+SUM($C$29:H29),0)),0)</f>
        <v>0</v>
      </c>
      <c r="J29" s="38">
        <f>IF(J13="Р",-(IF(I44+J16+SUM(J23:J28)&lt;0,($B$6-$B$7)*1%+SUM($C$29:I29),0)),0)</f>
        <v>0</v>
      </c>
      <c r="K29" s="38">
        <f>IF(K13="Р",-(IF(J44+K16+SUM(K23:K28)&lt;0,($B$6-$B$7)*1%+SUM($C$29:J29),0)),0)</f>
        <v>0</v>
      </c>
      <c r="L29" s="38">
        <f>IF(L13="Р",-(IF(K44+L16+SUM(L23:L28)&lt;0,($B$6-$B$7)*1%+SUM($C$29:K29),0)),0)</f>
        <v>0</v>
      </c>
      <c r="M29" s="38">
        <f>IF(M13="Р",-(IF(L44+M16+SUM(M23:M28)&lt;0,($B$6-$B$7)*1%+SUM($C$29:L29),0)),0)</f>
        <v>0</v>
      </c>
      <c r="N29" s="38">
        <f>IF(N13="Р",-(IF(M44+N16+SUM(N23:N28)&lt;0,($B$6-$B$7)*1%+SUM($C$29:M29),0)),0)</f>
        <v>0</v>
      </c>
      <c r="O29" s="38">
        <f>IF(O13="Р",-(IF(N44+O16+SUM(O23:O28)&lt;0,($B$6-$B$7)*1%+SUM($C$29:N29),0)),0)</f>
        <v>0</v>
      </c>
      <c r="P29" s="38">
        <f>IF(P13="Р",-(IF(O44+P16+SUM(P23:P28)&lt;0,($B$6-$B$7)*1%+SUM($C$29:O29),0)),0)</f>
        <v>0</v>
      </c>
      <c r="Q29" s="38">
        <f>IF(Q13="Р",-(IF(P44+Q16+SUM(Q23:Q28)&lt;0,($B$6-$B$7)*1%+SUM($C$29:P29),0)),0)</f>
        <v>0</v>
      </c>
      <c r="R29" s="38">
        <f>IF(R13="Р",-(IF(Q44+R16+SUM(R23:R28)&lt;0,($B$6-$B$7)*1%+SUM($C$29:Q29),0)),0)</f>
        <v>0</v>
      </c>
      <c r="S29" s="38">
        <f>IF(S13="Р",-(IF(R44+S16+SUM(S23:S28)&lt;0,($B$6-$B$7)*1%+SUM($C$29:R29),0)),0)</f>
        <v>0</v>
      </c>
      <c r="T29" s="38">
        <f>IF(T13="Р",-(IF(S44+T16+SUM(T23:T28)&lt;0,($B$6-$B$7)*1%+SUM($C$29:S29),0)),0)</f>
        <v>0</v>
      </c>
      <c r="U29" s="38">
        <f>IF(U13="Р",-(IF(T44+U16+SUM(U23:U28)&lt;0,($B$6-$B$7)*1%+SUM($C$29:T29),0)),0)</f>
        <v>0</v>
      </c>
      <c r="V29" s="38">
        <f>IF(V13="Р",-(IF(U44+V16+SUM(V23:V28)&lt;0,($B$6-$B$7)*1%+SUM($C$29:U29),0)),0)</f>
        <v>0</v>
      </c>
      <c r="W29" s="38"/>
      <c r="X29" s="38"/>
      <c r="Y29" s="38"/>
      <c r="Z29" s="38"/>
    </row>
    <row r="30" spans="1:26" s="44" customFormat="1" x14ac:dyDescent="0.2">
      <c r="A30" s="43" t="s">
        <v>41</v>
      </c>
      <c r="B30" s="49"/>
      <c r="C30" s="49">
        <f t="shared" ref="C30:Z30" si="21">B44+C16+C22</f>
        <v>0</v>
      </c>
      <c r="D30" s="49">
        <f t="shared" si="21"/>
        <v>0</v>
      </c>
      <c r="E30" s="49">
        <f t="shared" si="21"/>
        <v>0</v>
      </c>
      <c r="F30" s="49">
        <f t="shared" si="21"/>
        <v>0</v>
      </c>
      <c r="G30" s="49">
        <f t="shared" si="21"/>
        <v>0</v>
      </c>
      <c r="H30" s="49">
        <f t="shared" si="21"/>
        <v>0</v>
      </c>
      <c r="I30" s="49">
        <f t="shared" si="21"/>
        <v>0</v>
      </c>
      <c r="J30" s="49">
        <f t="shared" si="21"/>
        <v>0</v>
      </c>
      <c r="K30" s="49">
        <f t="shared" si="21"/>
        <v>0</v>
      </c>
      <c r="L30" s="49">
        <f t="shared" si="21"/>
        <v>0</v>
      </c>
      <c r="M30" s="49">
        <f t="shared" si="21"/>
        <v>0</v>
      </c>
      <c r="N30" s="49">
        <f t="shared" si="21"/>
        <v>0</v>
      </c>
      <c r="O30" s="49">
        <f t="shared" si="21"/>
        <v>0</v>
      </c>
      <c r="P30" s="49">
        <f t="shared" si="21"/>
        <v>0</v>
      </c>
      <c r="Q30" s="49">
        <f t="shared" si="21"/>
        <v>0</v>
      </c>
      <c r="R30" s="49">
        <f t="shared" si="21"/>
        <v>0</v>
      </c>
      <c r="S30" s="49">
        <f t="shared" si="21"/>
        <v>0</v>
      </c>
      <c r="T30" s="49">
        <f t="shared" si="21"/>
        <v>0</v>
      </c>
      <c r="U30" s="49">
        <f t="shared" si="21"/>
        <v>0</v>
      </c>
      <c r="V30" s="49">
        <f t="shared" si="21"/>
        <v>0</v>
      </c>
      <c r="W30" s="49">
        <f t="shared" si="21"/>
        <v>0</v>
      </c>
      <c r="X30" s="49">
        <f t="shared" si="21"/>
        <v>0</v>
      </c>
      <c r="Y30" s="49">
        <f t="shared" si="21"/>
        <v>0</v>
      </c>
      <c r="Z30" s="49">
        <f t="shared" si="21"/>
        <v>0</v>
      </c>
    </row>
    <row r="31" spans="1:26" x14ac:dyDescent="0.2">
      <c r="A31" s="9" t="s">
        <v>61</v>
      </c>
      <c r="B31" s="4">
        <f>SUM(C31:Z31)</f>
        <v>0</v>
      </c>
      <c r="C31" s="38">
        <f t="shared" ref="C31:Z31" si="22">IF(C12="С",-C17,0)</f>
        <v>0</v>
      </c>
      <c r="D31" s="38">
        <f t="shared" si="22"/>
        <v>0</v>
      </c>
      <c r="E31" s="38">
        <f t="shared" si="22"/>
        <v>0</v>
      </c>
      <c r="F31" s="38">
        <f t="shared" si="22"/>
        <v>0</v>
      </c>
      <c r="G31" s="38">
        <f t="shared" si="22"/>
        <v>0</v>
      </c>
      <c r="H31" s="38">
        <f t="shared" si="22"/>
        <v>0</v>
      </c>
      <c r="I31" s="38">
        <f t="shared" si="22"/>
        <v>0</v>
      </c>
      <c r="J31" s="38">
        <f t="shared" si="22"/>
        <v>0</v>
      </c>
      <c r="K31" s="38">
        <f t="shared" si="22"/>
        <v>0</v>
      </c>
      <c r="L31" s="38">
        <f t="shared" si="22"/>
        <v>0</v>
      </c>
      <c r="M31" s="38">
        <f t="shared" si="22"/>
        <v>0</v>
      </c>
      <c r="N31" s="38">
        <f t="shared" si="22"/>
        <v>0</v>
      </c>
      <c r="O31" s="38">
        <f t="shared" si="22"/>
        <v>0</v>
      </c>
      <c r="P31" s="38">
        <f t="shared" si="22"/>
        <v>0</v>
      </c>
      <c r="Q31" s="38">
        <f t="shared" si="22"/>
        <v>0</v>
      </c>
      <c r="R31" s="38">
        <f t="shared" si="22"/>
        <v>0</v>
      </c>
      <c r="S31" s="38">
        <f t="shared" si="22"/>
        <v>0</v>
      </c>
      <c r="T31" s="38">
        <f t="shared" si="22"/>
        <v>0</v>
      </c>
      <c r="U31" s="38">
        <f t="shared" si="22"/>
        <v>0</v>
      </c>
      <c r="V31" s="38">
        <f t="shared" si="22"/>
        <v>0</v>
      </c>
      <c r="W31" s="38">
        <f t="shared" si="22"/>
        <v>0</v>
      </c>
      <c r="X31" s="38">
        <f t="shared" si="22"/>
        <v>0</v>
      </c>
      <c r="Y31" s="38">
        <f t="shared" si="22"/>
        <v>0</v>
      </c>
      <c r="Z31" s="38">
        <f t="shared" si="22"/>
        <v>0</v>
      </c>
    </row>
    <row r="32" spans="1:26" x14ac:dyDescent="0.2">
      <c r="A32" s="9" t="s">
        <v>26</v>
      </c>
      <c r="B32" s="4">
        <f>SUM(C32:Z32)</f>
        <v>0</v>
      </c>
      <c r="C32" s="38">
        <f>IF(C12="П",-B33,0)</f>
        <v>0</v>
      </c>
      <c r="D32" s="38">
        <f>IF(D12="П",-C33,0)</f>
        <v>0</v>
      </c>
      <c r="E32" s="38">
        <f t="shared" ref="E32:Z32" si="23">IF(E12="Э",-D33,0)</f>
        <v>0</v>
      </c>
      <c r="F32" s="38">
        <f t="shared" si="23"/>
        <v>0</v>
      </c>
      <c r="G32" s="38">
        <f t="shared" si="23"/>
        <v>0</v>
      </c>
      <c r="H32" s="38">
        <f t="shared" si="23"/>
        <v>0</v>
      </c>
      <c r="I32" s="38">
        <f t="shared" si="23"/>
        <v>0</v>
      </c>
      <c r="J32" s="38">
        <f t="shared" si="23"/>
        <v>0</v>
      </c>
      <c r="K32" s="38">
        <f t="shared" si="23"/>
        <v>0</v>
      </c>
      <c r="L32" s="38">
        <f t="shared" si="23"/>
        <v>0</v>
      </c>
      <c r="M32" s="38">
        <f t="shared" si="23"/>
        <v>0</v>
      </c>
      <c r="N32" s="38">
        <f t="shared" si="23"/>
        <v>0</v>
      </c>
      <c r="O32" s="38">
        <f t="shared" si="23"/>
        <v>0</v>
      </c>
      <c r="P32" s="38">
        <f t="shared" si="23"/>
        <v>0</v>
      </c>
      <c r="Q32" s="38">
        <f t="shared" si="23"/>
        <v>0</v>
      </c>
      <c r="R32" s="38">
        <f t="shared" si="23"/>
        <v>0</v>
      </c>
      <c r="S32" s="38">
        <f t="shared" si="23"/>
        <v>0</v>
      </c>
      <c r="T32" s="38">
        <f t="shared" si="23"/>
        <v>0</v>
      </c>
      <c r="U32" s="38">
        <f t="shared" si="23"/>
        <v>0</v>
      </c>
      <c r="V32" s="38">
        <f t="shared" si="23"/>
        <v>0</v>
      </c>
      <c r="W32" s="38">
        <f t="shared" si="23"/>
        <v>0</v>
      </c>
      <c r="X32" s="38">
        <f t="shared" si="23"/>
        <v>0</v>
      </c>
      <c r="Y32" s="38">
        <f t="shared" si="23"/>
        <v>0</v>
      </c>
      <c r="Z32" s="38">
        <f t="shared" si="23"/>
        <v>0</v>
      </c>
    </row>
    <row r="33" spans="1:26" s="28" customFormat="1" x14ac:dyDescent="0.2">
      <c r="A33" s="29" t="s">
        <v>62</v>
      </c>
      <c r="B33" s="65"/>
      <c r="C33" s="42">
        <f t="shared" ref="C33:Z33" si="24">B33+C31+C32</f>
        <v>0</v>
      </c>
      <c r="D33" s="42">
        <f t="shared" si="24"/>
        <v>0</v>
      </c>
      <c r="E33" s="42">
        <f t="shared" si="24"/>
        <v>0</v>
      </c>
      <c r="F33" s="42">
        <f t="shared" si="24"/>
        <v>0</v>
      </c>
      <c r="G33" s="42">
        <f t="shared" si="24"/>
        <v>0</v>
      </c>
      <c r="H33" s="42">
        <f t="shared" si="24"/>
        <v>0</v>
      </c>
      <c r="I33" s="42">
        <f t="shared" si="24"/>
        <v>0</v>
      </c>
      <c r="J33" s="42">
        <f t="shared" si="24"/>
        <v>0</v>
      </c>
      <c r="K33" s="42">
        <f t="shared" si="24"/>
        <v>0</v>
      </c>
      <c r="L33" s="42">
        <f t="shared" si="24"/>
        <v>0</v>
      </c>
      <c r="M33" s="42">
        <f t="shared" si="24"/>
        <v>0</v>
      </c>
      <c r="N33" s="42">
        <f t="shared" si="24"/>
        <v>0</v>
      </c>
      <c r="O33" s="42">
        <f t="shared" si="24"/>
        <v>0</v>
      </c>
      <c r="P33" s="42">
        <f t="shared" si="24"/>
        <v>0</v>
      </c>
      <c r="Q33" s="42">
        <f t="shared" si="24"/>
        <v>0</v>
      </c>
      <c r="R33" s="42">
        <f t="shared" si="24"/>
        <v>0</v>
      </c>
      <c r="S33" s="42">
        <f t="shared" si="24"/>
        <v>0</v>
      </c>
      <c r="T33" s="42">
        <f t="shared" si="24"/>
        <v>0</v>
      </c>
      <c r="U33" s="42">
        <f t="shared" si="24"/>
        <v>0</v>
      </c>
      <c r="V33" s="42">
        <f t="shared" si="24"/>
        <v>0</v>
      </c>
      <c r="W33" s="42">
        <f t="shared" si="24"/>
        <v>0</v>
      </c>
      <c r="X33" s="42">
        <f t="shared" si="24"/>
        <v>0</v>
      </c>
      <c r="Y33" s="42">
        <f t="shared" si="24"/>
        <v>0</v>
      </c>
      <c r="Z33" s="42">
        <f t="shared" si="24"/>
        <v>0</v>
      </c>
    </row>
    <row r="34" spans="1:26" s="44" customFormat="1" x14ac:dyDescent="0.2">
      <c r="A34" s="43" t="s">
        <v>27</v>
      </c>
      <c r="B34" s="49"/>
      <c r="C34" s="49">
        <f t="shared" ref="C34:Z34" si="25">C30+C31+C32</f>
        <v>0</v>
      </c>
      <c r="D34" s="49">
        <f t="shared" si="25"/>
        <v>0</v>
      </c>
      <c r="E34" s="49">
        <f t="shared" si="25"/>
        <v>0</v>
      </c>
      <c r="F34" s="49">
        <f t="shared" si="25"/>
        <v>0</v>
      </c>
      <c r="G34" s="49">
        <f t="shared" si="25"/>
        <v>0</v>
      </c>
      <c r="H34" s="49">
        <f t="shared" si="25"/>
        <v>0</v>
      </c>
      <c r="I34" s="49">
        <f t="shared" si="25"/>
        <v>0</v>
      </c>
      <c r="J34" s="49">
        <f t="shared" si="25"/>
        <v>0</v>
      </c>
      <c r="K34" s="49">
        <f t="shared" si="25"/>
        <v>0</v>
      </c>
      <c r="L34" s="49">
        <f t="shared" si="25"/>
        <v>0</v>
      </c>
      <c r="M34" s="49">
        <f t="shared" si="25"/>
        <v>0</v>
      </c>
      <c r="N34" s="49">
        <f t="shared" si="25"/>
        <v>0</v>
      </c>
      <c r="O34" s="49">
        <f t="shared" si="25"/>
        <v>0</v>
      </c>
      <c r="P34" s="49">
        <f t="shared" si="25"/>
        <v>0</v>
      </c>
      <c r="Q34" s="49">
        <f t="shared" si="25"/>
        <v>0</v>
      </c>
      <c r="R34" s="49">
        <f t="shared" si="25"/>
        <v>0</v>
      </c>
      <c r="S34" s="49">
        <f t="shared" si="25"/>
        <v>0</v>
      </c>
      <c r="T34" s="49">
        <f t="shared" si="25"/>
        <v>0</v>
      </c>
      <c r="U34" s="49">
        <f t="shared" si="25"/>
        <v>0</v>
      </c>
      <c r="V34" s="49">
        <f t="shared" si="25"/>
        <v>0</v>
      </c>
      <c r="W34" s="49">
        <f t="shared" si="25"/>
        <v>0</v>
      </c>
      <c r="X34" s="49">
        <f t="shared" si="25"/>
        <v>0</v>
      </c>
      <c r="Y34" s="49">
        <f t="shared" si="25"/>
        <v>0</v>
      </c>
      <c r="Z34" s="49">
        <f t="shared" si="25"/>
        <v>0</v>
      </c>
    </row>
    <row r="35" spans="1:26" x14ac:dyDescent="0.2">
      <c r="A35" s="9" t="s">
        <v>42</v>
      </c>
      <c r="B35" s="4">
        <f>SUM(C35:Z35)</f>
        <v>0</v>
      </c>
      <c r="C35" s="38">
        <f t="shared" ref="C35:D35" si="26">IF(C34&lt;0,-C34,0)</f>
        <v>0</v>
      </c>
      <c r="D35" s="38">
        <f t="shared" si="26"/>
        <v>0</v>
      </c>
      <c r="E35" s="38">
        <f t="shared" ref="E35:Z35" si="27">IF(E12="С",IF(E34&lt;0,-E34,0),0)</f>
        <v>0</v>
      </c>
      <c r="F35" s="38">
        <f t="shared" si="27"/>
        <v>0</v>
      </c>
      <c r="G35" s="38">
        <f t="shared" si="27"/>
        <v>0</v>
      </c>
      <c r="H35" s="38">
        <f t="shared" si="27"/>
        <v>0</v>
      </c>
      <c r="I35" s="38">
        <f t="shared" si="27"/>
        <v>0</v>
      </c>
      <c r="J35" s="38">
        <f t="shared" si="27"/>
        <v>0</v>
      </c>
      <c r="K35" s="38">
        <f t="shared" si="27"/>
        <v>0</v>
      </c>
      <c r="L35" s="38">
        <f t="shared" si="27"/>
        <v>0</v>
      </c>
      <c r="M35" s="38">
        <f t="shared" si="27"/>
        <v>0</v>
      </c>
      <c r="N35" s="38">
        <f t="shared" si="27"/>
        <v>0</v>
      </c>
      <c r="O35" s="38">
        <f t="shared" si="27"/>
        <v>0</v>
      </c>
      <c r="P35" s="38">
        <f t="shared" si="27"/>
        <v>0</v>
      </c>
      <c r="Q35" s="38">
        <f t="shared" si="27"/>
        <v>0</v>
      </c>
      <c r="R35" s="38">
        <f t="shared" si="27"/>
        <v>0</v>
      </c>
      <c r="S35" s="38">
        <f t="shared" si="27"/>
        <v>0</v>
      </c>
      <c r="T35" s="38">
        <f t="shared" si="27"/>
        <v>0</v>
      </c>
      <c r="U35" s="38">
        <f t="shared" si="27"/>
        <v>0</v>
      </c>
      <c r="V35" s="38">
        <f t="shared" si="27"/>
        <v>0</v>
      </c>
      <c r="W35" s="38">
        <f t="shared" si="27"/>
        <v>0</v>
      </c>
      <c r="X35" s="38">
        <f t="shared" si="27"/>
        <v>0</v>
      </c>
      <c r="Y35" s="38">
        <f t="shared" si="27"/>
        <v>0</v>
      </c>
      <c r="Z35" s="38">
        <f t="shared" si="27"/>
        <v>0</v>
      </c>
    </row>
    <row r="36" spans="1:26" x14ac:dyDescent="0.2">
      <c r="A36" s="9" t="s">
        <v>43</v>
      </c>
      <c r="B36" s="4">
        <f>SUM(C36:Z36)</f>
        <v>0</v>
      </c>
      <c r="C36" s="38">
        <f t="shared" ref="C36:Z36" si="28">IF(C34&gt;0,-MIN(B37,C34),0)</f>
        <v>0</v>
      </c>
      <c r="D36" s="38">
        <f t="shared" si="28"/>
        <v>0</v>
      </c>
      <c r="E36" s="38">
        <f t="shared" si="28"/>
        <v>0</v>
      </c>
      <c r="F36" s="38">
        <f t="shared" si="28"/>
        <v>0</v>
      </c>
      <c r="G36" s="38">
        <f t="shared" si="28"/>
        <v>0</v>
      </c>
      <c r="H36" s="38">
        <f t="shared" si="28"/>
        <v>0</v>
      </c>
      <c r="I36" s="38">
        <f t="shared" si="28"/>
        <v>0</v>
      </c>
      <c r="J36" s="38">
        <f t="shared" si="28"/>
        <v>0</v>
      </c>
      <c r="K36" s="38">
        <f t="shared" si="28"/>
        <v>0</v>
      </c>
      <c r="L36" s="38">
        <f t="shared" si="28"/>
        <v>0</v>
      </c>
      <c r="M36" s="38">
        <f t="shared" si="28"/>
        <v>0</v>
      </c>
      <c r="N36" s="38">
        <f t="shared" si="28"/>
        <v>0</v>
      </c>
      <c r="O36" s="38">
        <f t="shared" si="28"/>
        <v>0</v>
      </c>
      <c r="P36" s="38">
        <f t="shared" si="28"/>
        <v>0</v>
      </c>
      <c r="Q36" s="38">
        <f t="shared" si="28"/>
        <v>0</v>
      </c>
      <c r="R36" s="38">
        <f t="shared" si="28"/>
        <v>0</v>
      </c>
      <c r="S36" s="38">
        <f t="shared" si="28"/>
        <v>0</v>
      </c>
      <c r="T36" s="38">
        <f t="shared" si="28"/>
        <v>0</v>
      </c>
      <c r="U36" s="38">
        <f t="shared" si="28"/>
        <v>0</v>
      </c>
      <c r="V36" s="38">
        <f t="shared" si="28"/>
        <v>0</v>
      </c>
      <c r="W36" s="38">
        <f t="shared" si="28"/>
        <v>0</v>
      </c>
      <c r="X36" s="38">
        <f t="shared" si="28"/>
        <v>0</v>
      </c>
      <c r="Y36" s="38">
        <f t="shared" si="28"/>
        <v>0</v>
      </c>
      <c r="Z36" s="38">
        <f t="shared" si="28"/>
        <v>0</v>
      </c>
    </row>
    <row r="37" spans="1:26" s="28" customFormat="1" x14ac:dyDescent="0.2">
      <c r="A37" s="29" t="s">
        <v>4</v>
      </c>
      <c r="B37" s="65"/>
      <c r="C37" s="42">
        <f t="shared" ref="C37:Z37" si="29">B37+C35+C36</f>
        <v>0</v>
      </c>
      <c r="D37" s="42">
        <f t="shared" si="29"/>
        <v>0</v>
      </c>
      <c r="E37" s="42">
        <f t="shared" si="29"/>
        <v>0</v>
      </c>
      <c r="F37" s="42">
        <f t="shared" si="29"/>
        <v>0</v>
      </c>
      <c r="G37" s="42">
        <f t="shared" si="29"/>
        <v>0</v>
      </c>
      <c r="H37" s="42">
        <f t="shared" si="29"/>
        <v>0</v>
      </c>
      <c r="I37" s="42">
        <f t="shared" si="29"/>
        <v>0</v>
      </c>
      <c r="J37" s="42">
        <f t="shared" si="29"/>
        <v>0</v>
      </c>
      <c r="K37" s="42">
        <f t="shared" si="29"/>
        <v>0</v>
      </c>
      <c r="L37" s="42">
        <f t="shared" si="29"/>
        <v>0</v>
      </c>
      <c r="M37" s="42">
        <f t="shared" si="29"/>
        <v>0</v>
      </c>
      <c r="N37" s="42">
        <f t="shared" si="29"/>
        <v>0</v>
      </c>
      <c r="O37" s="42">
        <f t="shared" si="29"/>
        <v>0</v>
      </c>
      <c r="P37" s="42">
        <f t="shared" si="29"/>
        <v>0</v>
      </c>
      <c r="Q37" s="42">
        <f t="shared" si="29"/>
        <v>0</v>
      </c>
      <c r="R37" s="42">
        <f t="shared" si="29"/>
        <v>0</v>
      </c>
      <c r="S37" s="42">
        <f t="shared" si="29"/>
        <v>0</v>
      </c>
      <c r="T37" s="42">
        <f t="shared" si="29"/>
        <v>0</v>
      </c>
      <c r="U37" s="42">
        <f t="shared" si="29"/>
        <v>0</v>
      </c>
      <c r="V37" s="42">
        <f t="shared" si="29"/>
        <v>0</v>
      </c>
      <c r="W37" s="42">
        <f t="shared" si="29"/>
        <v>0</v>
      </c>
      <c r="X37" s="42">
        <f t="shared" si="29"/>
        <v>0</v>
      </c>
      <c r="Y37" s="42">
        <f t="shared" si="29"/>
        <v>0</v>
      </c>
      <c r="Z37" s="42">
        <f t="shared" si="29"/>
        <v>0</v>
      </c>
    </row>
    <row r="38" spans="1:26" s="28" customFormat="1" x14ac:dyDescent="0.2">
      <c r="A38" s="66" t="s">
        <v>28</v>
      </c>
      <c r="B38" s="65"/>
      <c r="C38" s="42">
        <f t="shared" ref="C38:F38" si="30">MAX(C37+C33,0)</f>
        <v>0</v>
      </c>
      <c r="D38" s="42">
        <f t="shared" si="30"/>
        <v>0</v>
      </c>
      <c r="E38" s="42">
        <f t="shared" si="30"/>
        <v>0</v>
      </c>
      <c r="F38" s="42">
        <f t="shared" si="30"/>
        <v>0</v>
      </c>
      <c r="G38" s="42">
        <f>G37+G33</f>
        <v>0</v>
      </c>
      <c r="H38" s="42">
        <f t="shared" ref="H38:V38" si="31">MAX(H37+H33,0)</f>
        <v>0</v>
      </c>
      <c r="I38" s="42">
        <f t="shared" si="31"/>
        <v>0</v>
      </c>
      <c r="J38" s="42">
        <f t="shared" si="31"/>
        <v>0</v>
      </c>
      <c r="K38" s="42">
        <f t="shared" si="31"/>
        <v>0</v>
      </c>
      <c r="L38" s="42">
        <f t="shared" si="31"/>
        <v>0</v>
      </c>
      <c r="M38" s="42">
        <f t="shared" si="31"/>
        <v>0</v>
      </c>
      <c r="N38" s="42">
        <f t="shared" si="31"/>
        <v>0</v>
      </c>
      <c r="O38" s="42">
        <f t="shared" si="31"/>
        <v>0</v>
      </c>
      <c r="P38" s="42">
        <f t="shared" si="31"/>
        <v>0</v>
      </c>
      <c r="Q38" s="42">
        <f t="shared" si="31"/>
        <v>0</v>
      </c>
      <c r="R38" s="42">
        <f t="shared" si="31"/>
        <v>0</v>
      </c>
      <c r="S38" s="42">
        <f t="shared" si="31"/>
        <v>0</v>
      </c>
      <c r="T38" s="42">
        <f t="shared" si="31"/>
        <v>0</v>
      </c>
      <c r="U38" s="42">
        <f t="shared" si="31"/>
        <v>0</v>
      </c>
      <c r="V38" s="42">
        <f t="shared" si="31"/>
        <v>0</v>
      </c>
      <c r="W38" s="42">
        <f t="shared" ref="W38:Z38" si="32">W37+W33</f>
        <v>0</v>
      </c>
      <c r="X38" s="42">
        <f t="shared" si="32"/>
        <v>0</v>
      </c>
      <c r="Y38" s="42">
        <f t="shared" si="32"/>
        <v>0</v>
      </c>
      <c r="Z38" s="42">
        <f t="shared" si="32"/>
        <v>0</v>
      </c>
    </row>
    <row r="39" spans="1:26" s="28" customFormat="1" x14ac:dyDescent="0.2">
      <c r="A39" s="29" t="s">
        <v>124</v>
      </c>
      <c r="B39" s="65"/>
      <c r="C39" s="128">
        <f>IF(B37&gt;0,IF(B37&gt;-B33,(-B33*ИДиР!$B$21+(B37+B33)*ИДиР!$B$20)/B37,MAX((B37*ИДиР!$B$21-(-B33-B37)*ИДиР!$B$22)/B37,0.01%)),0)</f>
        <v>0</v>
      </c>
      <c r="D39" s="128">
        <f>IF(C37&gt;0,IF(C37&gt;-C33,(-C33*ИДиР!$B$21+(C37+C33)*ИДиР!$B$20)/C37,MAX((C37*ИДиР!$B$21-(-C33-C37)*ИДиР!$B$22)/C37,0.01%)),0)</f>
        <v>0</v>
      </c>
      <c r="E39" s="128">
        <f>IF(D37&gt;0,IF(D37&gt;-D33,(-D33*ИДиР!$B$21+(D37+D33)*ИДиР!$B$20)/D37,MAX((D37*ИДиР!$B$21-(-D33-D37)*ИДиР!$B$22)/D37,0.01%)),0)</f>
        <v>0</v>
      </c>
      <c r="F39" s="128">
        <f>IF(E37&gt;0,IF(E37&gt;-E33,(-E33*ИДиР!$B$21+(E37+E33)*ИДиР!$B$20)/E37,MAX((E37*ИДиР!$B$21-(-E33-E37)*ИДиР!$B$22)/E37,0.01%)),0)</f>
        <v>0</v>
      </c>
      <c r="G39" s="128">
        <f>IF(F37&gt;0,IF(F37&gt;-F33,(-F33*ИДиР!$B$21+(F37+F33)*ИДиР!$B$20)/F37,MAX((F37*ИДиР!$B$21-(-F33-F37)*ИДиР!$B$22)/F37,0.01%)),0)</f>
        <v>0</v>
      </c>
      <c r="H39" s="128">
        <f>IF(G37&gt;0,IF(G37&gt;-G33,(-G33*ИДиР!$B$21+(G37+G33)*ИДиР!$B$20)/G37,MAX((G37*ИДиР!$B$21-(-G33-G37)*ИДиР!$B$22)/G37,0.01%)),0)</f>
        <v>0</v>
      </c>
      <c r="I39" s="128">
        <f>IF(H37&gt;0,IF(H37&gt;-H33,(-H33*ИДиР!$B$21+(H37+H33)*ИДиР!$B$20)/H37,MAX((H37*ИДиР!$B$21-(-H33-H37)*ИДиР!$B$22)/H37,0.01%)),0)</f>
        <v>0</v>
      </c>
      <c r="J39" s="128">
        <f>IF(I37&gt;0,IF(I37&gt;-I33,(-I33*ИДиР!$B$21+(I37+I33)*ИДиР!$B$20)/I37,MAX((I37*ИДиР!$B$21-(-I33-I37)*ИДиР!$B$22)/I37,0.01%)),0)</f>
        <v>0</v>
      </c>
      <c r="K39" s="128">
        <f>IF(J37&gt;0,IF(J37&gt;-J33,(-J33*ИДиР!$B$21+(J37+J33)*ИДиР!$B$20)/J37,MAX((J37*ИДиР!$B$21-(-J33-J37)*ИДиР!$B$22)/J37,0.01%)),0)</f>
        <v>0</v>
      </c>
      <c r="L39" s="128">
        <f>IF(K37&gt;0,IF(K37&gt;-K33,(-K33*ИДиР!$B$21+(K37+K33)*ИДиР!$B$20)/K37,MAX((K37*ИДиР!$B$21-(-K33-K37)*ИДиР!$B$22)/K37,0.01%)),0)</f>
        <v>0</v>
      </c>
      <c r="M39" s="128">
        <f>IF(L37&gt;0,IF(L37&gt;-L33,(-L33*ИДиР!$B$21+(L37+L33)*ИДиР!$B$20)/L37,MAX((L37*ИДиР!$B$21-(-L33-L37)*ИДиР!$B$22)/L37,0.01%)),0)</f>
        <v>0</v>
      </c>
      <c r="N39" s="128">
        <f>IF(M37&gt;0,IF(M37&gt;-M33,(-M33*ИДиР!$B$21+(M37+M33)*ИДиР!$B$20)/M37,MAX((M37*ИДиР!$B$21-(-M33-M37)*ИДиР!$B$22)/M37,0.01%)),0)</f>
        <v>0</v>
      </c>
      <c r="O39" s="128">
        <f>IF(N37&gt;0,IF(N37&gt;-N33,(-N33*ИДиР!$B$21+(N37+N33)*ИДиР!$B$20)/N37,MAX((N37*ИДиР!$B$21-(-N33-N37)*ИДиР!$B$22)/N37,0.01%)),0)</f>
        <v>0</v>
      </c>
      <c r="P39" s="128">
        <f>IF(O37&gt;0,IF(O37&gt;-O33,(-O33*ИДиР!$B$21+(O37+O33)*ИДиР!$B$20)/O37,MAX((O37*ИДиР!$B$21-(-O33-O37)*ИДиР!$B$22)/O37,0.01%)),0)</f>
        <v>0</v>
      </c>
      <c r="Q39" s="128">
        <f>IF(P37&gt;0,IF(P37&gt;-P33,(-P33*ИДиР!$B$21+(P37+P33)*ИДиР!$B$20)/P37,MAX((P37*ИДиР!$B$21-(-P33-P37)*ИДиР!$B$22)/P37,0.01%)),0)</f>
        <v>0</v>
      </c>
      <c r="R39" s="128">
        <f>IF(Q37&gt;0,IF(Q37&gt;-Q33,(-Q33*ИДиР!$B$21+(Q37+Q33)*ИДиР!$B$20)/Q37,MAX((Q37*ИДиР!$B$21-(-Q33-Q37)*ИДиР!$B$22)/Q37,0.01%)),0)</f>
        <v>0</v>
      </c>
      <c r="S39" s="128">
        <f>IF(R37&gt;0,IF(R37&gt;-R33,(-R33*ИДиР!$B$21+(R37+R33)*ИДиР!$B$20)/R37,MAX((R37*ИДиР!$B$21-(-R33-R37)*ИДиР!$B$22)/R37,0.01%)),0)</f>
        <v>0</v>
      </c>
      <c r="T39" s="128">
        <f>IF(S37&gt;0,IF(S37&gt;-S33,(-S33*ИДиР!$B$21+(S37+S33)*ИДиР!$B$20)/S37,MAX((S37*ИДиР!$B$21-(-S33-S37)*ИДиР!$B$22)/S37,0.01%)),0)</f>
        <v>0</v>
      </c>
      <c r="U39" s="128">
        <f>IF(T37&gt;0,IF(T37&gt;-T33,(-T33*ИДиР!$B$21+(T37+T33)*ИДиР!$B$20)/T37,MAX((T37*ИДиР!$B$21-(-T33-T37)*ИДиР!$B$22)/T37,0.01%)),0)</f>
        <v>0</v>
      </c>
      <c r="V39" s="128">
        <f>IF(U37&gt;0,IF(U37&gt;-U33,(-U33*ИДиР!$B$21+(U37+U33)*ИДиР!$B$20)/U37,MAX((U37*ИДиР!$B$21-(-U33-U37)*ИДиР!$B$22)/U37,0.01%)),0)</f>
        <v>0</v>
      </c>
      <c r="W39" s="42"/>
      <c r="X39" s="42"/>
      <c r="Y39" s="42"/>
      <c r="Z39" s="42"/>
    </row>
    <row r="40" spans="1:26" s="44" customFormat="1" x14ac:dyDescent="0.2">
      <c r="A40" s="43" t="s">
        <v>0</v>
      </c>
      <c r="B40" s="49"/>
      <c r="C40" s="49">
        <f t="shared" ref="C40:Z40" si="33">C34+C35+C36</f>
        <v>0</v>
      </c>
      <c r="D40" s="49">
        <f t="shared" si="33"/>
        <v>0</v>
      </c>
      <c r="E40" s="49">
        <f t="shared" si="33"/>
        <v>0</v>
      </c>
      <c r="F40" s="49">
        <f t="shared" si="33"/>
        <v>0</v>
      </c>
      <c r="G40" s="49">
        <f t="shared" si="33"/>
        <v>0</v>
      </c>
      <c r="H40" s="49">
        <f t="shared" si="33"/>
        <v>0</v>
      </c>
      <c r="I40" s="49">
        <f t="shared" si="33"/>
        <v>0</v>
      </c>
      <c r="J40" s="49">
        <f t="shared" si="33"/>
        <v>0</v>
      </c>
      <c r="K40" s="49">
        <f t="shared" si="33"/>
        <v>0</v>
      </c>
      <c r="L40" s="49">
        <f t="shared" si="33"/>
        <v>0</v>
      </c>
      <c r="M40" s="49">
        <f t="shared" si="33"/>
        <v>0</v>
      </c>
      <c r="N40" s="49">
        <f t="shared" si="33"/>
        <v>0</v>
      </c>
      <c r="O40" s="49">
        <f t="shared" si="33"/>
        <v>0</v>
      </c>
      <c r="P40" s="49">
        <f t="shared" si="33"/>
        <v>0</v>
      </c>
      <c r="Q40" s="49">
        <f t="shared" si="33"/>
        <v>0</v>
      </c>
      <c r="R40" s="49">
        <f t="shared" si="33"/>
        <v>0</v>
      </c>
      <c r="S40" s="49">
        <f t="shared" si="33"/>
        <v>0</v>
      </c>
      <c r="T40" s="49">
        <f t="shared" si="33"/>
        <v>0</v>
      </c>
      <c r="U40" s="49">
        <f t="shared" si="33"/>
        <v>0</v>
      </c>
      <c r="V40" s="49">
        <f t="shared" si="33"/>
        <v>0</v>
      </c>
      <c r="W40" s="49">
        <f t="shared" si="33"/>
        <v>0</v>
      </c>
      <c r="X40" s="49">
        <f t="shared" si="33"/>
        <v>0</v>
      </c>
      <c r="Y40" s="49">
        <f t="shared" si="33"/>
        <v>0</v>
      </c>
      <c r="Z40" s="49">
        <f t="shared" si="33"/>
        <v>0</v>
      </c>
    </row>
    <row r="41" spans="1:26" x14ac:dyDescent="0.2">
      <c r="A41" s="9" t="s">
        <v>5</v>
      </c>
      <c r="B41" s="4">
        <f>SUM(C41:Z41)</f>
        <v>0</v>
      </c>
      <c r="C41" s="38">
        <f t="shared" ref="C41:Z41" si="34">C53</f>
        <v>0</v>
      </c>
      <c r="D41" s="38">
        <f t="shared" si="34"/>
        <v>0</v>
      </c>
      <c r="E41" s="38">
        <f t="shared" si="34"/>
        <v>0</v>
      </c>
      <c r="F41" s="38">
        <f t="shared" si="34"/>
        <v>0</v>
      </c>
      <c r="G41" s="38">
        <f t="shared" si="34"/>
        <v>0</v>
      </c>
      <c r="H41" s="38">
        <f t="shared" si="34"/>
        <v>0</v>
      </c>
      <c r="I41" s="38">
        <f t="shared" si="34"/>
        <v>0</v>
      </c>
      <c r="J41" s="38">
        <f t="shared" si="34"/>
        <v>0</v>
      </c>
      <c r="K41" s="38">
        <f t="shared" si="34"/>
        <v>0</v>
      </c>
      <c r="L41" s="38">
        <f t="shared" si="34"/>
        <v>0</v>
      </c>
      <c r="M41" s="38">
        <f t="shared" si="34"/>
        <v>0</v>
      </c>
      <c r="N41" s="38">
        <f t="shared" si="34"/>
        <v>0</v>
      </c>
      <c r="O41" s="38">
        <f>O53</f>
        <v>0</v>
      </c>
      <c r="P41" s="38">
        <f t="shared" si="34"/>
        <v>0</v>
      </c>
      <c r="Q41" s="38">
        <f t="shared" si="34"/>
        <v>0</v>
      </c>
      <c r="R41" s="38">
        <f t="shared" si="34"/>
        <v>0</v>
      </c>
      <c r="S41" s="38">
        <f t="shared" si="34"/>
        <v>0</v>
      </c>
      <c r="T41" s="38">
        <f t="shared" si="34"/>
        <v>0</v>
      </c>
      <c r="U41" s="38">
        <f t="shared" si="34"/>
        <v>0</v>
      </c>
      <c r="V41" s="38">
        <f t="shared" si="34"/>
        <v>0</v>
      </c>
      <c r="W41" s="38">
        <f t="shared" si="34"/>
        <v>0</v>
      </c>
      <c r="X41" s="38">
        <f t="shared" si="34"/>
        <v>0</v>
      </c>
      <c r="Y41" s="38">
        <f t="shared" si="34"/>
        <v>0</v>
      </c>
      <c r="Z41" s="38">
        <f t="shared" si="34"/>
        <v>0</v>
      </c>
    </row>
    <row r="42" spans="1:26" s="44" customFormat="1" x14ac:dyDescent="0.2">
      <c r="A42" s="43" t="s">
        <v>29</v>
      </c>
      <c r="B42" s="49"/>
      <c r="C42" s="49">
        <f t="shared" ref="C42:Z42" si="35">C40+C41</f>
        <v>0</v>
      </c>
      <c r="D42" s="49">
        <f t="shared" si="35"/>
        <v>0</v>
      </c>
      <c r="E42" s="49">
        <f t="shared" si="35"/>
        <v>0</v>
      </c>
      <c r="F42" s="49">
        <f t="shared" si="35"/>
        <v>0</v>
      </c>
      <c r="G42" s="49">
        <f t="shared" si="35"/>
        <v>0</v>
      </c>
      <c r="H42" s="49">
        <f t="shared" si="35"/>
        <v>0</v>
      </c>
      <c r="I42" s="49">
        <f t="shared" si="35"/>
        <v>0</v>
      </c>
      <c r="J42" s="49">
        <f t="shared" si="35"/>
        <v>0</v>
      </c>
      <c r="K42" s="49">
        <f t="shared" si="35"/>
        <v>0</v>
      </c>
      <c r="L42" s="49">
        <f t="shared" si="35"/>
        <v>0</v>
      </c>
      <c r="M42" s="49">
        <f t="shared" si="35"/>
        <v>0</v>
      </c>
      <c r="N42" s="49">
        <f t="shared" si="35"/>
        <v>0</v>
      </c>
      <c r="O42" s="49">
        <f t="shared" si="35"/>
        <v>0</v>
      </c>
      <c r="P42" s="49">
        <f t="shared" si="35"/>
        <v>0</v>
      </c>
      <c r="Q42" s="49">
        <f t="shared" si="35"/>
        <v>0</v>
      </c>
      <c r="R42" s="49">
        <f t="shared" si="35"/>
        <v>0</v>
      </c>
      <c r="S42" s="49">
        <f t="shared" si="35"/>
        <v>0</v>
      </c>
      <c r="T42" s="49">
        <f t="shared" si="35"/>
        <v>0</v>
      </c>
      <c r="U42" s="49">
        <f t="shared" si="35"/>
        <v>0</v>
      </c>
      <c r="V42" s="49">
        <f t="shared" si="35"/>
        <v>0</v>
      </c>
      <c r="W42" s="49">
        <f t="shared" si="35"/>
        <v>0</v>
      </c>
      <c r="X42" s="49">
        <f t="shared" si="35"/>
        <v>0</v>
      </c>
      <c r="Y42" s="49">
        <f t="shared" si="35"/>
        <v>0</v>
      </c>
      <c r="Z42" s="49">
        <f t="shared" si="35"/>
        <v>0</v>
      </c>
    </row>
    <row r="43" spans="1:26" x14ac:dyDescent="0.2">
      <c r="A43" s="9" t="s">
        <v>30</v>
      </c>
      <c r="B43" s="4">
        <f>SUM(C43:Z43)</f>
        <v>0</v>
      </c>
      <c r="C43" s="38"/>
      <c r="D43" s="38"/>
      <c r="E43" s="38"/>
      <c r="F43" s="38"/>
      <c r="G43" s="38"/>
      <c r="H43" s="38"/>
      <c r="I43" s="38"/>
      <c r="J43" s="38"/>
      <c r="K43" s="38"/>
      <c r="L43" s="38">
        <f t="shared" ref="L43:S43" si="36">IF(L42&gt;0,-L42,0)</f>
        <v>0</v>
      </c>
      <c r="M43" s="38">
        <f t="shared" si="36"/>
        <v>0</v>
      </c>
      <c r="N43" s="38">
        <f t="shared" si="36"/>
        <v>0</v>
      </c>
      <c r="O43" s="38">
        <f t="shared" si="36"/>
        <v>0</v>
      </c>
      <c r="P43" s="38">
        <f t="shared" si="36"/>
        <v>0</v>
      </c>
      <c r="Q43" s="38">
        <f t="shared" si="36"/>
        <v>0</v>
      </c>
      <c r="R43" s="38">
        <f t="shared" si="36"/>
        <v>0</v>
      </c>
      <c r="S43" s="38">
        <f t="shared" si="36"/>
        <v>0</v>
      </c>
      <c r="T43" s="38">
        <f t="shared" ref="T43:Z43" si="37">IF(T42&gt;0,-T42,0)</f>
        <v>0</v>
      </c>
      <c r="U43" s="38">
        <f t="shared" si="37"/>
        <v>0</v>
      </c>
      <c r="V43" s="38">
        <f t="shared" si="37"/>
        <v>0</v>
      </c>
      <c r="W43" s="38">
        <f t="shared" si="37"/>
        <v>0</v>
      </c>
      <c r="X43" s="38">
        <f t="shared" si="37"/>
        <v>0</v>
      </c>
      <c r="Y43" s="38">
        <f t="shared" si="37"/>
        <v>0</v>
      </c>
      <c r="Z43" s="38">
        <f t="shared" si="37"/>
        <v>0</v>
      </c>
    </row>
    <row r="44" spans="1:26" s="44" customFormat="1" x14ac:dyDescent="0.2">
      <c r="A44" s="43" t="s">
        <v>31</v>
      </c>
      <c r="B44" s="49"/>
      <c r="C44" s="49">
        <f t="shared" ref="C44:Z44" si="38">C42+C43</f>
        <v>0</v>
      </c>
      <c r="D44" s="49">
        <f t="shared" si="38"/>
        <v>0</v>
      </c>
      <c r="E44" s="49">
        <f t="shared" si="38"/>
        <v>0</v>
      </c>
      <c r="F44" s="49">
        <f t="shared" si="38"/>
        <v>0</v>
      </c>
      <c r="G44" s="49">
        <f t="shared" si="38"/>
        <v>0</v>
      </c>
      <c r="H44" s="49">
        <f t="shared" si="38"/>
        <v>0</v>
      </c>
      <c r="I44" s="49">
        <f t="shared" si="38"/>
        <v>0</v>
      </c>
      <c r="J44" s="49">
        <f t="shared" si="38"/>
        <v>0</v>
      </c>
      <c r="K44" s="49">
        <f t="shared" si="38"/>
        <v>0</v>
      </c>
      <c r="L44" s="49">
        <f t="shared" si="38"/>
        <v>0</v>
      </c>
      <c r="M44" s="49">
        <f t="shared" si="38"/>
        <v>0</v>
      </c>
      <c r="N44" s="49">
        <f t="shared" si="38"/>
        <v>0</v>
      </c>
      <c r="O44" s="49">
        <f t="shared" si="38"/>
        <v>0</v>
      </c>
      <c r="P44" s="49">
        <f t="shared" si="38"/>
        <v>0</v>
      </c>
      <c r="Q44" s="49">
        <f t="shared" si="38"/>
        <v>0</v>
      </c>
      <c r="R44" s="49">
        <f t="shared" si="38"/>
        <v>0</v>
      </c>
      <c r="S44" s="49">
        <f t="shared" si="38"/>
        <v>0</v>
      </c>
      <c r="T44" s="49">
        <f t="shared" si="38"/>
        <v>0</v>
      </c>
      <c r="U44" s="49">
        <f t="shared" si="38"/>
        <v>0</v>
      </c>
      <c r="V44" s="49">
        <f t="shared" si="38"/>
        <v>0</v>
      </c>
      <c r="W44" s="49">
        <f t="shared" si="38"/>
        <v>0</v>
      </c>
      <c r="X44" s="49">
        <f t="shared" si="38"/>
        <v>0</v>
      </c>
      <c r="Y44" s="49">
        <f t="shared" si="38"/>
        <v>0</v>
      </c>
      <c r="Z44" s="49">
        <f t="shared" si="38"/>
        <v>0</v>
      </c>
    </row>
    <row r="45" spans="1:26" s="18" customFormat="1" x14ac:dyDescent="0.2">
      <c r="A45" s="16" t="s">
        <v>32</v>
      </c>
      <c r="B45" s="4">
        <f>SUM(C45:Z45)</f>
        <v>0</v>
      </c>
      <c r="C45" s="38">
        <f t="shared" ref="C45:Z45" si="39">C16+C22+C41+C31+C32</f>
        <v>0</v>
      </c>
      <c r="D45" s="38">
        <f t="shared" si="39"/>
        <v>0</v>
      </c>
      <c r="E45" s="38">
        <f t="shared" si="39"/>
        <v>0</v>
      </c>
      <c r="F45" s="38">
        <f t="shared" si="39"/>
        <v>0</v>
      </c>
      <c r="G45" s="38">
        <f t="shared" si="39"/>
        <v>0</v>
      </c>
      <c r="H45" s="38">
        <f t="shared" si="39"/>
        <v>0</v>
      </c>
      <c r="I45" s="38">
        <f t="shared" si="39"/>
        <v>0</v>
      </c>
      <c r="J45" s="38">
        <f t="shared" si="39"/>
        <v>0</v>
      </c>
      <c r="K45" s="38">
        <f t="shared" si="39"/>
        <v>0</v>
      </c>
      <c r="L45" s="38">
        <f t="shared" si="39"/>
        <v>0</v>
      </c>
      <c r="M45" s="38">
        <f t="shared" si="39"/>
        <v>0</v>
      </c>
      <c r="N45" s="38">
        <f t="shared" si="39"/>
        <v>0</v>
      </c>
      <c r="O45" s="38">
        <f t="shared" si="39"/>
        <v>0</v>
      </c>
      <c r="P45" s="38">
        <f t="shared" si="39"/>
        <v>0</v>
      </c>
      <c r="Q45" s="38">
        <f t="shared" si="39"/>
        <v>0</v>
      </c>
      <c r="R45" s="38">
        <f t="shared" si="39"/>
        <v>0</v>
      </c>
      <c r="S45" s="38">
        <f t="shared" si="39"/>
        <v>0</v>
      </c>
      <c r="T45" s="38">
        <f t="shared" si="39"/>
        <v>0</v>
      </c>
      <c r="U45" s="38">
        <f t="shared" si="39"/>
        <v>0</v>
      </c>
      <c r="V45" s="38">
        <f t="shared" si="39"/>
        <v>0</v>
      </c>
      <c r="W45" s="38">
        <f t="shared" si="39"/>
        <v>0</v>
      </c>
      <c r="X45" s="38">
        <f t="shared" si="39"/>
        <v>0</v>
      </c>
      <c r="Y45" s="38">
        <f t="shared" si="39"/>
        <v>0</v>
      </c>
      <c r="Z45" s="38">
        <f t="shared" si="39"/>
        <v>0</v>
      </c>
    </row>
    <row r="46" spans="1:26" x14ac:dyDescent="0.2">
      <c r="A46" s="15" t="s">
        <v>50</v>
      </c>
      <c r="B46" s="19">
        <f>IFERROR(IRR(C45:Z45)*4,0)</f>
        <v>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x14ac:dyDescent="0.2">
      <c r="A47" s="21"/>
      <c r="B47" s="56"/>
      <c r="C47" s="56"/>
      <c r="D47" s="56"/>
      <c r="E47" s="56"/>
      <c r="F47" s="56"/>
      <c r="G47" s="57"/>
      <c r="H47" s="57"/>
      <c r="I47" s="57"/>
      <c r="J47" s="58"/>
      <c r="K47" s="58"/>
      <c r="L47" s="58"/>
      <c r="M47" s="58"/>
      <c r="N47" s="58"/>
      <c r="O47" s="58"/>
      <c r="P47" s="58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9" t="s">
        <v>51</v>
      </c>
      <c r="B48" s="4">
        <f>SUM(C48:Z48)</f>
        <v>0</v>
      </c>
      <c r="C48" s="38">
        <f t="shared" ref="C48:Z48" si="40">C17+C18</f>
        <v>0</v>
      </c>
      <c r="D48" s="38">
        <f t="shared" si="40"/>
        <v>0</v>
      </c>
      <c r="E48" s="38">
        <f t="shared" si="40"/>
        <v>0</v>
      </c>
      <c r="F48" s="38">
        <f t="shared" si="40"/>
        <v>0</v>
      </c>
      <c r="G48" s="38">
        <f t="shared" si="40"/>
        <v>0</v>
      </c>
      <c r="H48" s="38">
        <f t="shared" si="40"/>
        <v>0</v>
      </c>
      <c r="I48" s="38">
        <f t="shared" si="40"/>
        <v>0</v>
      </c>
      <c r="J48" s="38">
        <f t="shared" si="40"/>
        <v>0</v>
      </c>
      <c r="K48" s="38">
        <f t="shared" si="40"/>
        <v>0</v>
      </c>
      <c r="L48" s="38">
        <f t="shared" si="40"/>
        <v>0</v>
      </c>
      <c r="M48" s="38">
        <f t="shared" si="40"/>
        <v>0</v>
      </c>
      <c r="N48" s="38">
        <f t="shared" si="40"/>
        <v>0</v>
      </c>
      <c r="O48" s="38">
        <f t="shared" si="40"/>
        <v>0</v>
      </c>
      <c r="P48" s="38">
        <f t="shared" si="40"/>
        <v>0</v>
      </c>
      <c r="Q48" s="38">
        <f t="shared" si="40"/>
        <v>0</v>
      </c>
      <c r="R48" s="38">
        <f t="shared" si="40"/>
        <v>0</v>
      </c>
      <c r="S48" s="38">
        <f t="shared" si="40"/>
        <v>0</v>
      </c>
      <c r="T48" s="38">
        <f t="shared" si="40"/>
        <v>0</v>
      </c>
      <c r="U48" s="38">
        <f t="shared" si="40"/>
        <v>0</v>
      </c>
      <c r="V48" s="38">
        <f t="shared" si="40"/>
        <v>0</v>
      </c>
      <c r="W48" s="38">
        <f t="shared" si="40"/>
        <v>0</v>
      </c>
      <c r="X48" s="38">
        <f t="shared" si="40"/>
        <v>0</v>
      </c>
      <c r="Y48" s="38">
        <f t="shared" si="40"/>
        <v>0</v>
      </c>
      <c r="Z48" s="38">
        <f t="shared" si="40"/>
        <v>0</v>
      </c>
    </row>
    <row r="49" spans="1:26" x14ac:dyDescent="0.2">
      <c r="A49" s="9" t="s">
        <v>6</v>
      </c>
      <c r="B49" s="4">
        <f>SUM(C49:Z49)</f>
        <v>-179351.63999999996</v>
      </c>
      <c r="C49" s="38">
        <f t="shared" ref="C49:V49" si="41">C23+C25+C27+C28+C29+C24</f>
        <v>0</v>
      </c>
      <c r="D49" s="38">
        <f t="shared" si="41"/>
        <v>0</v>
      </c>
      <c r="E49" s="38">
        <f t="shared" si="41"/>
        <v>0</v>
      </c>
      <c r="F49" s="38">
        <f t="shared" si="41"/>
        <v>-35870.327999999994</v>
      </c>
      <c r="G49" s="38">
        <f t="shared" si="41"/>
        <v>-35870.327999999994</v>
      </c>
      <c r="H49" s="38">
        <f t="shared" si="41"/>
        <v>-35870.327999999994</v>
      </c>
      <c r="I49" s="38">
        <f t="shared" si="41"/>
        <v>-35870.327999999994</v>
      </c>
      <c r="J49" s="38">
        <f t="shared" si="41"/>
        <v>-35870.327999999994</v>
      </c>
      <c r="K49" s="38">
        <f t="shared" si="41"/>
        <v>0</v>
      </c>
      <c r="L49" s="38">
        <f t="shared" si="41"/>
        <v>0</v>
      </c>
      <c r="M49" s="38">
        <f t="shared" si="41"/>
        <v>0</v>
      </c>
      <c r="N49" s="38">
        <f t="shared" si="41"/>
        <v>0</v>
      </c>
      <c r="O49" s="38">
        <f t="shared" si="41"/>
        <v>0</v>
      </c>
      <c r="P49" s="38">
        <f t="shared" si="41"/>
        <v>0</v>
      </c>
      <c r="Q49" s="38">
        <f t="shared" si="41"/>
        <v>0</v>
      </c>
      <c r="R49" s="38">
        <f t="shared" si="41"/>
        <v>0</v>
      </c>
      <c r="S49" s="38">
        <f t="shared" si="41"/>
        <v>0</v>
      </c>
      <c r="T49" s="38">
        <f t="shared" si="41"/>
        <v>0</v>
      </c>
      <c r="U49" s="38">
        <f t="shared" si="41"/>
        <v>0</v>
      </c>
      <c r="V49" s="38">
        <f t="shared" si="41"/>
        <v>0</v>
      </c>
      <c r="W49" s="38">
        <f>W23+W25+W27</f>
        <v>0</v>
      </c>
      <c r="X49" s="38">
        <f>X23+X25+X27</f>
        <v>0</v>
      </c>
      <c r="Y49" s="38">
        <f>Y23+Y25+Y27</f>
        <v>0</v>
      </c>
      <c r="Z49" s="38">
        <f>Z23+Z25+Z27</f>
        <v>0</v>
      </c>
    </row>
    <row r="50" spans="1:26" x14ac:dyDescent="0.2">
      <c r="A50" s="9" t="s">
        <v>7</v>
      </c>
      <c r="B50" s="4">
        <f>SUM(C50:Z50)</f>
        <v>-179351.63999999996</v>
      </c>
      <c r="C50" s="38">
        <f t="shared" ref="C50:U50" si="42">C48+C49</f>
        <v>0</v>
      </c>
      <c r="D50" s="38">
        <f t="shared" si="42"/>
        <v>0</v>
      </c>
      <c r="E50" s="38">
        <f t="shared" si="42"/>
        <v>0</v>
      </c>
      <c r="F50" s="38">
        <f t="shared" si="42"/>
        <v>-35870.327999999994</v>
      </c>
      <c r="G50" s="38">
        <f t="shared" si="42"/>
        <v>-35870.327999999994</v>
      </c>
      <c r="H50" s="38">
        <f t="shared" si="42"/>
        <v>-35870.327999999994</v>
      </c>
      <c r="I50" s="38">
        <f t="shared" si="42"/>
        <v>-35870.327999999994</v>
      </c>
      <c r="J50" s="38">
        <f t="shared" si="42"/>
        <v>-35870.327999999994</v>
      </c>
      <c r="K50" s="38">
        <f t="shared" si="42"/>
        <v>0</v>
      </c>
      <c r="L50" s="38">
        <f t="shared" si="42"/>
        <v>0</v>
      </c>
      <c r="M50" s="38">
        <f t="shared" si="42"/>
        <v>0</v>
      </c>
      <c r="N50" s="38">
        <f t="shared" si="42"/>
        <v>0</v>
      </c>
      <c r="O50" s="38">
        <f t="shared" si="42"/>
        <v>0</v>
      </c>
      <c r="P50" s="38">
        <f t="shared" si="42"/>
        <v>0</v>
      </c>
      <c r="Q50" s="38">
        <f t="shared" si="42"/>
        <v>0</v>
      </c>
      <c r="R50" s="38">
        <f t="shared" si="42"/>
        <v>0</v>
      </c>
      <c r="S50" s="38">
        <f t="shared" si="42"/>
        <v>0</v>
      </c>
      <c r="T50" s="38">
        <f t="shared" si="42"/>
        <v>0</v>
      </c>
      <c r="U50" s="38">
        <f t="shared" si="42"/>
        <v>0</v>
      </c>
      <c r="V50" s="38">
        <f t="shared" ref="V50:Z50" si="43">V48+V49</f>
        <v>0</v>
      </c>
      <c r="W50" s="38">
        <f t="shared" si="43"/>
        <v>0</v>
      </c>
      <c r="X50" s="38">
        <f t="shared" si="43"/>
        <v>0</v>
      </c>
      <c r="Y50" s="38">
        <f t="shared" si="43"/>
        <v>0</v>
      </c>
      <c r="Z50" s="38">
        <f t="shared" si="43"/>
        <v>0</v>
      </c>
    </row>
    <row r="51" spans="1:26" x14ac:dyDescent="0.2">
      <c r="A51" s="9" t="s">
        <v>8</v>
      </c>
      <c r="B51" s="4"/>
      <c r="C51" s="38">
        <f t="shared" ref="C51:U51" si="44">B51+C50</f>
        <v>0</v>
      </c>
      <c r="D51" s="38">
        <f t="shared" si="44"/>
        <v>0</v>
      </c>
      <c r="E51" s="38">
        <f t="shared" si="44"/>
        <v>0</v>
      </c>
      <c r="F51" s="38">
        <f t="shared" si="44"/>
        <v>-35870.327999999994</v>
      </c>
      <c r="G51" s="38">
        <f t="shared" si="44"/>
        <v>-71740.655999999988</v>
      </c>
      <c r="H51" s="38">
        <f t="shared" si="44"/>
        <v>-107610.98399999998</v>
      </c>
      <c r="I51" s="38">
        <f t="shared" si="44"/>
        <v>-143481.31199999998</v>
      </c>
      <c r="J51" s="38">
        <f t="shared" si="44"/>
        <v>-179351.63999999996</v>
      </c>
      <c r="K51" s="38">
        <f t="shared" si="44"/>
        <v>-179351.63999999996</v>
      </c>
      <c r="L51" s="38">
        <f t="shared" si="44"/>
        <v>-179351.63999999996</v>
      </c>
      <c r="M51" s="38">
        <f t="shared" si="44"/>
        <v>-179351.63999999996</v>
      </c>
      <c r="N51" s="38">
        <f t="shared" si="44"/>
        <v>-179351.63999999996</v>
      </c>
      <c r="O51" s="38">
        <f t="shared" si="44"/>
        <v>-179351.63999999996</v>
      </c>
      <c r="P51" s="38">
        <f t="shared" si="44"/>
        <v>-179351.63999999996</v>
      </c>
      <c r="Q51" s="38">
        <f t="shared" si="44"/>
        <v>-179351.63999999996</v>
      </c>
      <c r="R51" s="38">
        <f t="shared" si="44"/>
        <v>-179351.63999999996</v>
      </c>
      <c r="S51" s="38">
        <f t="shared" si="44"/>
        <v>-179351.63999999996</v>
      </c>
      <c r="T51" s="38">
        <f t="shared" si="44"/>
        <v>-179351.63999999996</v>
      </c>
      <c r="U51" s="38">
        <f t="shared" si="44"/>
        <v>-179351.63999999996</v>
      </c>
      <c r="V51" s="38">
        <f t="shared" ref="V51" si="45">U51+V50</f>
        <v>-179351.63999999996</v>
      </c>
      <c r="W51" s="38">
        <f t="shared" ref="W51" si="46">V51+W50</f>
        <v>-179351.63999999996</v>
      </c>
      <c r="X51" s="38">
        <f t="shared" ref="X51" si="47">W51+X50</f>
        <v>-179351.63999999996</v>
      </c>
      <c r="Y51" s="38">
        <f t="shared" ref="Y51" si="48">X51+Y50</f>
        <v>-179351.63999999996</v>
      </c>
      <c r="Z51" s="38">
        <f t="shared" ref="Z51" si="49">Y51+Z50</f>
        <v>-179351.63999999996</v>
      </c>
    </row>
    <row r="52" spans="1:26" x14ac:dyDescent="0.2">
      <c r="A52" s="9" t="s">
        <v>9</v>
      </c>
      <c r="B52" s="4">
        <f>SUM(C52:Z52)</f>
        <v>0</v>
      </c>
      <c r="C52" s="38">
        <f t="shared" ref="C52:U52" si="50">MAX(MIN(C51,C50),0)</f>
        <v>0</v>
      </c>
      <c r="D52" s="38">
        <f t="shared" si="50"/>
        <v>0</v>
      </c>
      <c r="E52" s="38">
        <f t="shared" si="50"/>
        <v>0</v>
      </c>
      <c r="F52" s="38">
        <f t="shared" si="50"/>
        <v>0</v>
      </c>
      <c r="G52" s="38">
        <f t="shared" si="50"/>
        <v>0</v>
      </c>
      <c r="H52" s="38">
        <f t="shared" si="50"/>
        <v>0</v>
      </c>
      <c r="I52" s="38">
        <f t="shared" si="50"/>
        <v>0</v>
      </c>
      <c r="J52" s="38">
        <f t="shared" si="50"/>
        <v>0</v>
      </c>
      <c r="K52" s="38">
        <f t="shared" si="50"/>
        <v>0</v>
      </c>
      <c r="L52" s="38">
        <f t="shared" si="50"/>
        <v>0</v>
      </c>
      <c r="M52" s="38">
        <f t="shared" si="50"/>
        <v>0</v>
      </c>
      <c r="N52" s="38">
        <f t="shared" si="50"/>
        <v>0</v>
      </c>
      <c r="O52" s="38">
        <f t="shared" si="50"/>
        <v>0</v>
      </c>
      <c r="P52" s="38">
        <f t="shared" si="50"/>
        <v>0</v>
      </c>
      <c r="Q52" s="38">
        <f t="shared" si="50"/>
        <v>0</v>
      </c>
      <c r="R52" s="38">
        <f t="shared" si="50"/>
        <v>0</v>
      </c>
      <c r="S52" s="38">
        <f t="shared" si="50"/>
        <v>0</v>
      </c>
      <c r="T52" s="38">
        <f t="shared" si="50"/>
        <v>0</v>
      </c>
      <c r="U52" s="38">
        <f t="shared" si="50"/>
        <v>0</v>
      </c>
      <c r="V52" s="38">
        <f t="shared" ref="V52:Z52" si="51">MAX(MIN(V51,V50),0)</f>
        <v>0</v>
      </c>
      <c r="W52" s="38">
        <f t="shared" si="51"/>
        <v>0</v>
      </c>
      <c r="X52" s="38">
        <f t="shared" si="51"/>
        <v>0</v>
      </c>
      <c r="Y52" s="38">
        <f t="shared" si="51"/>
        <v>0</v>
      </c>
      <c r="Z52" s="38">
        <f t="shared" si="51"/>
        <v>0</v>
      </c>
    </row>
    <row r="53" spans="1:26" x14ac:dyDescent="0.2">
      <c r="A53" s="9" t="s">
        <v>10</v>
      </c>
      <c r="B53" s="4">
        <f>SUM(C53:Z53)</f>
        <v>0</v>
      </c>
      <c r="C53" s="38">
        <f t="shared" ref="C53:Q53" si="52">-C52*0.2</f>
        <v>0</v>
      </c>
      <c r="D53" s="38">
        <f t="shared" si="52"/>
        <v>0</v>
      </c>
      <c r="E53" s="38">
        <f t="shared" si="52"/>
        <v>0</v>
      </c>
      <c r="F53" s="38">
        <f t="shared" si="52"/>
        <v>0</v>
      </c>
      <c r="G53" s="38">
        <f t="shared" si="52"/>
        <v>0</v>
      </c>
      <c r="H53" s="38">
        <f t="shared" si="52"/>
        <v>0</v>
      </c>
      <c r="I53" s="38">
        <f t="shared" si="52"/>
        <v>0</v>
      </c>
      <c r="J53" s="38">
        <f t="shared" si="52"/>
        <v>0</v>
      </c>
      <c r="K53" s="38">
        <f t="shared" si="52"/>
        <v>0</v>
      </c>
      <c r="L53" s="38">
        <f t="shared" si="52"/>
        <v>0</v>
      </c>
      <c r="M53" s="38">
        <f t="shared" si="52"/>
        <v>0</v>
      </c>
      <c r="N53" s="38">
        <f t="shared" si="52"/>
        <v>0</v>
      </c>
      <c r="O53" s="38">
        <f>-O52*0.2</f>
        <v>0</v>
      </c>
      <c r="P53" s="38">
        <f t="shared" si="52"/>
        <v>0</v>
      </c>
      <c r="Q53" s="38">
        <f t="shared" si="52"/>
        <v>0</v>
      </c>
      <c r="R53" s="38">
        <f>-R52*0.2</f>
        <v>0</v>
      </c>
      <c r="S53" s="38">
        <f t="shared" ref="S53:U53" si="53">-S52*0.2</f>
        <v>0</v>
      </c>
      <c r="T53" s="38">
        <f t="shared" si="53"/>
        <v>0</v>
      </c>
      <c r="U53" s="38">
        <f t="shared" si="53"/>
        <v>0</v>
      </c>
      <c r="V53" s="38">
        <f t="shared" ref="V53:Z53" si="54">-V52*0.2</f>
        <v>0</v>
      </c>
      <c r="W53" s="38">
        <f t="shared" si="54"/>
        <v>0</v>
      </c>
      <c r="X53" s="38">
        <f t="shared" si="54"/>
        <v>0</v>
      </c>
      <c r="Y53" s="38">
        <f t="shared" si="54"/>
        <v>0</v>
      </c>
      <c r="Z53" s="38">
        <f t="shared" si="54"/>
        <v>0</v>
      </c>
    </row>
    <row r="54" spans="1:26" x14ac:dyDescent="0.2">
      <c r="A54" s="9" t="s">
        <v>11</v>
      </c>
      <c r="B54" s="4">
        <f>SUM(C54:Z54)</f>
        <v>-179351.63999999996</v>
      </c>
      <c r="C54" s="38">
        <f t="shared" ref="C54:U54" si="55">C50+C53</f>
        <v>0</v>
      </c>
      <c r="D54" s="38">
        <f t="shared" si="55"/>
        <v>0</v>
      </c>
      <c r="E54" s="38">
        <f t="shared" si="55"/>
        <v>0</v>
      </c>
      <c r="F54" s="38">
        <f t="shared" si="55"/>
        <v>-35870.327999999994</v>
      </c>
      <c r="G54" s="38">
        <f t="shared" si="55"/>
        <v>-35870.327999999994</v>
      </c>
      <c r="H54" s="38">
        <f t="shared" si="55"/>
        <v>-35870.327999999994</v>
      </c>
      <c r="I54" s="38">
        <f t="shared" si="55"/>
        <v>-35870.327999999994</v>
      </c>
      <c r="J54" s="38">
        <f t="shared" si="55"/>
        <v>-35870.327999999994</v>
      </c>
      <c r="K54" s="38">
        <f t="shared" si="55"/>
        <v>0</v>
      </c>
      <c r="L54" s="38">
        <f t="shared" si="55"/>
        <v>0</v>
      </c>
      <c r="M54" s="38">
        <f t="shared" si="55"/>
        <v>0</v>
      </c>
      <c r="N54" s="38">
        <f t="shared" si="55"/>
        <v>0</v>
      </c>
      <c r="O54" s="38">
        <f t="shared" si="55"/>
        <v>0</v>
      </c>
      <c r="P54" s="38">
        <f t="shared" si="55"/>
        <v>0</v>
      </c>
      <c r="Q54" s="38">
        <f t="shared" si="55"/>
        <v>0</v>
      </c>
      <c r="R54" s="38">
        <f t="shared" si="55"/>
        <v>0</v>
      </c>
      <c r="S54" s="38">
        <f t="shared" si="55"/>
        <v>0</v>
      </c>
      <c r="T54" s="38">
        <f t="shared" si="55"/>
        <v>0</v>
      </c>
      <c r="U54" s="38">
        <f t="shared" si="55"/>
        <v>0</v>
      </c>
      <c r="V54" s="38">
        <f t="shared" ref="V54:Z54" si="56">V50+V53</f>
        <v>0</v>
      </c>
      <c r="W54" s="38">
        <f t="shared" si="56"/>
        <v>0</v>
      </c>
      <c r="X54" s="38">
        <f t="shared" si="56"/>
        <v>0</v>
      </c>
      <c r="Y54" s="38">
        <f t="shared" si="56"/>
        <v>0</v>
      </c>
      <c r="Z54" s="38">
        <f t="shared" si="56"/>
        <v>0</v>
      </c>
    </row>
    <row r="55" spans="1:26" x14ac:dyDescent="0.2">
      <c r="A55" s="9" t="s">
        <v>8</v>
      </c>
      <c r="B55" s="4"/>
      <c r="C55" s="38">
        <f t="shared" ref="C55:V55" si="57">B55+C54</f>
        <v>0</v>
      </c>
      <c r="D55" s="38">
        <f t="shared" si="57"/>
        <v>0</v>
      </c>
      <c r="E55" s="38">
        <f t="shared" si="57"/>
        <v>0</v>
      </c>
      <c r="F55" s="38">
        <f t="shared" si="57"/>
        <v>-35870.327999999994</v>
      </c>
      <c r="G55" s="38">
        <f t="shared" si="57"/>
        <v>-71740.655999999988</v>
      </c>
      <c r="H55" s="38">
        <f t="shared" si="57"/>
        <v>-107610.98399999998</v>
      </c>
      <c r="I55" s="38">
        <f t="shared" si="57"/>
        <v>-143481.31199999998</v>
      </c>
      <c r="J55" s="38">
        <f t="shared" si="57"/>
        <v>-179351.63999999996</v>
      </c>
      <c r="K55" s="38">
        <f t="shared" si="57"/>
        <v>-179351.63999999996</v>
      </c>
      <c r="L55" s="38">
        <f t="shared" si="57"/>
        <v>-179351.63999999996</v>
      </c>
      <c r="M55" s="38">
        <f t="shared" si="57"/>
        <v>-179351.63999999996</v>
      </c>
      <c r="N55" s="38">
        <f t="shared" si="57"/>
        <v>-179351.63999999996</v>
      </c>
      <c r="O55" s="38">
        <f t="shared" si="57"/>
        <v>-179351.63999999996</v>
      </c>
      <c r="P55" s="38">
        <f t="shared" si="57"/>
        <v>-179351.63999999996</v>
      </c>
      <c r="Q55" s="38">
        <f t="shared" si="57"/>
        <v>-179351.63999999996</v>
      </c>
      <c r="R55" s="38">
        <f t="shared" si="57"/>
        <v>-179351.63999999996</v>
      </c>
      <c r="S55" s="38">
        <f t="shared" si="57"/>
        <v>-179351.63999999996</v>
      </c>
      <c r="T55" s="38">
        <f t="shared" si="57"/>
        <v>-179351.63999999996</v>
      </c>
      <c r="U55" s="38">
        <f t="shared" si="57"/>
        <v>-179351.63999999996</v>
      </c>
      <c r="V55" s="38">
        <f t="shared" si="57"/>
        <v>-179351.63999999996</v>
      </c>
      <c r="W55" s="38">
        <f t="shared" ref="W55" si="58">V55+W54</f>
        <v>-179351.63999999996</v>
      </c>
      <c r="X55" s="38">
        <f t="shared" ref="X55" si="59">W55+X54</f>
        <v>-179351.63999999996</v>
      </c>
      <c r="Y55" s="38">
        <f t="shared" ref="Y55" si="60">X55+Y54</f>
        <v>-179351.63999999996</v>
      </c>
      <c r="Z55" s="38">
        <f t="shared" ref="Z55" si="61">Y55+Z54</f>
        <v>-179351.63999999996</v>
      </c>
    </row>
    <row r="56" spans="1:26" x14ac:dyDescent="0.2">
      <c r="A56" s="21"/>
      <c r="B56" s="22">
        <f>IFERROR(B53/B52,0)</f>
        <v>0</v>
      </c>
      <c r="C56" s="22"/>
      <c r="D56" s="22"/>
      <c r="E56" s="22"/>
      <c r="F56" s="22"/>
      <c r="G56" s="23"/>
      <c r="H56" s="127"/>
      <c r="I56" s="127"/>
      <c r="J56" s="127"/>
      <c r="K56" s="127"/>
      <c r="L56" s="127"/>
      <c r="M56" s="127"/>
      <c r="N56" s="127"/>
      <c r="O56" s="127"/>
      <c r="P56" s="127"/>
    </row>
    <row r="57" spans="1:26" hidden="1" x14ac:dyDescent="0.2"/>
    <row r="58" spans="1:26" hidden="1" x14ac:dyDescent="0.2"/>
    <row r="59" spans="1:26" x14ac:dyDescent="0.2"/>
    <row r="60" spans="1:26" x14ac:dyDescent="0.2"/>
  </sheetData>
  <mergeCells count="6">
    <mergeCell ref="W10:Z10"/>
    <mergeCell ref="C10:F10"/>
    <mergeCell ref="G10:J10"/>
    <mergeCell ref="K10:N10"/>
    <mergeCell ref="O10:R10"/>
    <mergeCell ref="S10:V10"/>
  </mergeCells>
  <conditionalFormatting sqref="B19:Z21 B18:F18 B27:F27 B24:F24 B17:Z17">
    <cfRule type="cellIs" dxfId="468" priority="42" operator="equal">
      <formula>0</formula>
    </cfRule>
  </conditionalFormatting>
  <conditionalFormatting sqref="B41:Z41">
    <cfRule type="cellIs" dxfId="467" priority="31" operator="equal">
      <formula>0</formula>
    </cfRule>
  </conditionalFormatting>
  <conditionalFormatting sqref="B23:F23">
    <cfRule type="cellIs" dxfId="466" priority="41" operator="equal">
      <formula>0</formula>
    </cfRule>
  </conditionalFormatting>
  <conditionalFormatting sqref="B25:F25">
    <cfRule type="cellIs" dxfId="465" priority="40" operator="equal">
      <formula>0</formula>
    </cfRule>
  </conditionalFormatting>
  <conditionalFormatting sqref="B26:F26">
    <cfRule type="cellIs" dxfId="464" priority="39" operator="equal">
      <formula>0</formula>
    </cfRule>
  </conditionalFormatting>
  <conditionalFormatting sqref="B28:C28 B29 C24:Z24">
    <cfRule type="cellIs" dxfId="463" priority="38" operator="equal">
      <formula>0</formula>
    </cfRule>
  </conditionalFormatting>
  <conditionalFormatting sqref="B31:Z31">
    <cfRule type="cellIs" dxfId="462" priority="37" operator="equal">
      <formula>0</formula>
    </cfRule>
  </conditionalFormatting>
  <conditionalFormatting sqref="B32:Z32">
    <cfRule type="cellIs" dxfId="461" priority="36" operator="equal">
      <formula>0</formula>
    </cfRule>
  </conditionalFormatting>
  <conditionalFormatting sqref="B35:Z35">
    <cfRule type="cellIs" dxfId="460" priority="35" operator="equal">
      <formula>0</formula>
    </cfRule>
  </conditionalFormatting>
  <conditionalFormatting sqref="B36:Z36">
    <cfRule type="cellIs" dxfId="459" priority="34" operator="equal">
      <formula>0</formula>
    </cfRule>
  </conditionalFormatting>
  <conditionalFormatting sqref="B37:Z37">
    <cfRule type="cellIs" dxfId="458" priority="33" operator="equal">
      <formula>0</formula>
    </cfRule>
  </conditionalFormatting>
  <conditionalFormatting sqref="B38:Z39">
    <cfRule type="cellIs" dxfId="457" priority="32" operator="equal">
      <formula>0</formula>
    </cfRule>
  </conditionalFormatting>
  <conditionalFormatting sqref="B45:Z45">
    <cfRule type="cellIs" dxfId="456" priority="29" operator="equal">
      <formula>0</formula>
    </cfRule>
  </conditionalFormatting>
  <conditionalFormatting sqref="B43:Z43">
    <cfRule type="cellIs" dxfId="455" priority="30" operator="equal">
      <formula>0</formula>
    </cfRule>
  </conditionalFormatting>
  <conditionalFormatting sqref="C46:Z46">
    <cfRule type="cellIs" dxfId="454" priority="28" operator="equal">
      <formula>0</formula>
    </cfRule>
  </conditionalFormatting>
  <conditionalFormatting sqref="C48:Z55">
    <cfRule type="cellIs" dxfId="453" priority="27" operator="equal">
      <formula>0</formula>
    </cfRule>
  </conditionalFormatting>
  <conditionalFormatting sqref="B33:Z33">
    <cfRule type="cellIs" dxfId="452" priority="26" operator="equal">
      <formula>0</formula>
    </cfRule>
  </conditionalFormatting>
  <conditionalFormatting sqref="G23:Z23">
    <cfRule type="cellIs" dxfId="451" priority="25" operator="equal">
      <formula>0</formula>
    </cfRule>
  </conditionalFormatting>
  <conditionalFormatting sqref="C25:Z25">
    <cfRule type="cellIs" dxfId="450" priority="24" operator="equal">
      <formula>0</formula>
    </cfRule>
  </conditionalFormatting>
  <conditionalFormatting sqref="G26:Z26">
    <cfRule type="cellIs" dxfId="449" priority="23" operator="equal">
      <formula>0</formula>
    </cfRule>
  </conditionalFormatting>
  <conditionalFormatting sqref="G27:Z27 D28:Z29 C24:Z24">
    <cfRule type="cellIs" dxfId="448" priority="22" operator="equal">
      <formula>0</formula>
    </cfRule>
  </conditionalFormatting>
  <conditionalFormatting sqref="C18:Z18">
    <cfRule type="cellIs" dxfId="447" priority="21" operator="equal">
      <formula>0</formula>
    </cfRule>
  </conditionalFormatting>
  <conditionalFormatting sqref="C29">
    <cfRule type="cellIs" dxfId="446" priority="16" operator="equal">
      <formula>0</formula>
    </cfRule>
  </conditionalFormatting>
  <conditionalFormatting sqref="F29">
    <cfRule type="cellIs" dxfId="445" priority="19" operator="equal">
      <formula>0</formula>
    </cfRule>
  </conditionalFormatting>
  <conditionalFormatting sqref="E29">
    <cfRule type="cellIs" dxfId="444" priority="18" operator="equal">
      <formula>0</formula>
    </cfRule>
  </conditionalFormatting>
  <conditionalFormatting sqref="D29">
    <cfRule type="cellIs" dxfId="443" priority="17" operator="equal">
      <formula>0</formula>
    </cfRule>
  </conditionalFormatting>
  <conditionalFormatting sqref="D28">
    <cfRule type="cellIs" dxfId="442" priority="13" operator="equal">
      <formula>0</formula>
    </cfRule>
  </conditionalFormatting>
  <conditionalFormatting sqref="F28">
    <cfRule type="cellIs" dxfId="441" priority="15" operator="equal">
      <formula>0</formula>
    </cfRule>
  </conditionalFormatting>
  <conditionalFormatting sqref="E28">
    <cfRule type="cellIs" dxfId="440" priority="14" operator="equal">
      <formula>0</formula>
    </cfRule>
  </conditionalFormatting>
  <conditionalFormatting sqref="C24:Z24">
    <cfRule type="cellIs" dxfId="439" priority="12" operator="equal">
      <formula>0</formula>
    </cfRule>
  </conditionalFormatting>
  <conditionalFormatting sqref="G24">
    <cfRule type="cellIs" dxfId="438" priority="11" operator="equal">
      <formula>0</formula>
    </cfRule>
  </conditionalFormatting>
  <conditionalFormatting sqref="H24">
    <cfRule type="cellIs" dxfId="437" priority="10" operator="equal">
      <formula>0</formula>
    </cfRule>
  </conditionalFormatting>
  <conditionalFormatting sqref="I24">
    <cfRule type="cellIs" dxfId="436" priority="9" operator="equal">
      <formula>0</formula>
    </cfRule>
  </conditionalFormatting>
  <conditionalFormatting sqref="J24">
    <cfRule type="cellIs" dxfId="435" priority="8" operator="equal">
      <formula>0</formula>
    </cfRule>
  </conditionalFormatting>
  <conditionalFormatting sqref="G24">
    <cfRule type="cellIs" dxfId="434" priority="7" operator="equal">
      <formula>0</formula>
    </cfRule>
  </conditionalFormatting>
  <conditionalFormatting sqref="F24">
    <cfRule type="cellIs" dxfId="433" priority="6" operator="equal">
      <formula>0</formula>
    </cfRule>
  </conditionalFormatting>
  <conditionalFormatting sqref="C24:Z24">
    <cfRule type="cellIs" dxfId="432" priority="5" operator="equal">
      <formula>0</formula>
    </cfRule>
  </conditionalFormatting>
  <conditionalFormatting sqref="B46">
    <cfRule type="cellIs" dxfId="431" priority="4" operator="equal">
      <formula>0</formula>
    </cfRule>
  </conditionalFormatting>
  <conditionalFormatting sqref="B48 B50:B55">
    <cfRule type="cellIs" dxfId="430" priority="3" operator="equal">
      <formula>0</formula>
    </cfRule>
  </conditionalFormatting>
  <conditionalFormatting sqref="B49">
    <cfRule type="cellIs" dxfId="429" priority="2" operator="equal">
      <formula>0</formula>
    </cfRule>
  </conditionalFormatting>
  <conditionalFormatting sqref="C15:V15">
    <cfRule type="cellIs" dxfId="428" priority="1" operator="equal">
      <formula>0</formula>
    </cfRule>
  </conditionalFormatting>
  <pageMargins left="0.64" right="0.56999999999999995" top="0.47244094488188981" bottom="0.3937007874015748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60"/>
  <sheetViews>
    <sheetView zoomScale="70" zoomScaleNormal="70" zoomScaleSheetLayoutView="70" workbookViewId="0">
      <selection activeCell="J17" sqref="J17"/>
    </sheetView>
  </sheetViews>
  <sheetFormatPr defaultColWidth="0" defaultRowHeight="12.75" zeroHeight="1" outlineLevelCol="1" x14ac:dyDescent="0.2"/>
  <cols>
    <col min="1" max="1" width="36.42578125" bestFit="1" customWidth="1"/>
    <col min="2" max="2" width="14.140625" style="7" customWidth="1"/>
    <col min="3" max="4" width="9.28515625" style="7" hidden="1" customWidth="1" outlineLevel="1"/>
    <col min="5" max="5" width="9.28515625" style="7" customWidth="1" collapsed="1"/>
    <col min="6" max="6" width="9.28515625" style="7" bestFit="1" customWidth="1"/>
    <col min="7" max="7" width="9.28515625" style="12" bestFit="1" customWidth="1"/>
    <col min="8" max="8" width="9.28515625" style="12" customWidth="1"/>
    <col min="9" max="9" width="9.28515625" style="12" bestFit="1" customWidth="1"/>
    <col min="10" max="10" width="9.28515625" bestFit="1" customWidth="1"/>
    <col min="11" max="12" width="10.28515625" bestFit="1" customWidth="1"/>
    <col min="13" max="18" width="11.42578125" bestFit="1" customWidth="1"/>
    <col min="19" max="22" width="9.28515625" customWidth="1"/>
    <col min="23" max="26" width="9.28515625" hidden="1" customWidth="1"/>
    <col min="27" max="16384" width="9.140625" hidden="1"/>
  </cols>
  <sheetData>
    <row r="1" spans="1:26" ht="20.25" x14ac:dyDescent="0.3">
      <c r="A1" s="33" t="s">
        <v>88</v>
      </c>
      <c r="Q1" s="156">
        <f>B24/B23</f>
        <v>3.9918175930957527E-2</v>
      </c>
      <c r="R1" s="155">
        <v>5.9433994372292947E-3</v>
      </c>
    </row>
    <row r="2" spans="1:26" x14ac:dyDescent="0.2">
      <c r="A2" s="50" t="s">
        <v>89</v>
      </c>
      <c r="B2" s="53"/>
      <c r="C2" s="53"/>
      <c r="D2" s="53"/>
      <c r="E2" s="53"/>
      <c r="F2" s="53"/>
      <c r="G2" s="68"/>
      <c r="H2" s="23"/>
      <c r="I2" s="23"/>
      <c r="J2" s="24"/>
    </row>
    <row r="3" spans="1:26" x14ac:dyDescent="0.2">
      <c r="A3" s="50"/>
      <c r="B3" s="53"/>
      <c r="C3" s="53"/>
      <c r="D3" s="53"/>
      <c r="E3" s="53"/>
      <c r="F3" s="53"/>
      <c r="G3" s="69"/>
      <c r="H3" s="31"/>
      <c r="J3" s="12"/>
    </row>
    <row r="4" spans="1:26" x14ac:dyDescent="0.2">
      <c r="A4" s="60" t="s">
        <v>56</v>
      </c>
      <c r="B4" s="55">
        <f>'Э1 (СЗ)'!B4*(1+ИДиР!B27/2)</f>
        <v>39.14</v>
      </c>
      <c r="C4" s="53"/>
      <c r="D4" s="53"/>
      <c r="E4" s="53"/>
      <c r="F4" s="50"/>
      <c r="G4" s="96"/>
      <c r="H4"/>
      <c r="I4"/>
    </row>
    <row r="5" spans="1:26" x14ac:dyDescent="0.2">
      <c r="A5" s="60" t="s">
        <v>48</v>
      </c>
      <c r="B5" s="37">
        <f>ИДиР!D7</f>
        <v>13614.75</v>
      </c>
      <c r="C5" s="53"/>
      <c r="D5" s="53"/>
      <c r="E5" s="53"/>
      <c r="F5" s="50"/>
      <c r="G5" s="50"/>
      <c r="H5"/>
      <c r="I5"/>
    </row>
    <row r="6" spans="1:26" x14ac:dyDescent="0.2">
      <c r="A6" s="60" t="s">
        <v>151</v>
      </c>
      <c r="B6" s="37">
        <f>B4*B5</f>
        <v>532881.31500000006</v>
      </c>
      <c r="C6" s="53"/>
      <c r="D6" s="53"/>
      <c r="E6" s="53"/>
      <c r="F6" s="50"/>
      <c r="G6" s="50"/>
      <c r="H6"/>
      <c r="I6"/>
      <c r="N6" s="52"/>
    </row>
    <row r="7" spans="1:26" x14ac:dyDescent="0.2">
      <c r="A7" s="70" t="s">
        <v>149</v>
      </c>
      <c r="B7" s="37">
        <f>B6*ИДиР!D11</f>
        <v>26644.065750000005</v>
      </c>
      <c r="C7" s="53"/>
      <c r="D7" s="53"/>
      <c r="E7" s="53"/>
      <c r="F7" s="72"/>
      <c r="G7" s="72"/>
      <c r="H7" s="52"/>
      <c r="I7" s="52"/>
      <c r="J7" s="52"/>
      <c r="K7" s="52"/>
      <c r="M7" s="52"/>
    </row>
    <row r="8" spans="1:26" x14ac:dyDescent="0.2">
      <c r="A8" s="60" t="s">
        <v>49</v>
      </c>
      <c r="B8" s="54">
        <f>ИДиР!D13</f>
        <v>0.5</v>
      </c>
      <c r="C8" s="53"/>
      <c r="D8" s="53"/>
      <c r="F8" s="50"/>
      <c r="G8" s="50"/>
      <c r="H8"/>
      <c r="M8" s="52"/>
    </row>
    <row r="9" spans="1:26" x14ac:dyDescent="0.2"/>
    <row r="10" spans="1:26" s="63" customFormat="1" ht="15" x14ac:dyDescent="0.25">
      <c r="A10" s="61" t="s">
        <v>59</v>
      </c>
      <c r="B10" s="62"/>
      <c r="C10" s="194">
        <v>2020</v>
      </c>
      <c r="D10" s="194"/>
      <c r="E10" s="194"/>
      <c r="F10" s="194"/>
      <c r="G10" s="194">
        <f>C10+1</f>
        <v>2021</v>
      </c>
      <c r="H10" s="194"/>
      <c r="I10" s="194"/>
      <c r="J10" s="194"/>
      <c r="K10" s="194">
        <f>G10+1</f>
        <v>2022</v>
      </c>
      <c r="L10" s="194"/>
      <c r="M10" s="194"/>
      <c r="N10" s="194"/>
      <c r="O10" s="194">
        <f>K10+1</f>
        <v>2023</v>
      </c>
      <c r="P10" s="194"/>
      <c r="Q10" s="194"/>
      <c r="R10" s="194"/>
      <c r="S10" s="194">
        <f>O10+1</f>
        <v>2024</v>
      </c>
      <c r="T10" s="194"/>
      <c r="U10" s="194"/>
      <c r="V10" s="194"/>
      <c r="W10" s="194">
        <f>S10+1</f>
        <v>2025</v>
      </c>
      <c r="X10" s="194"/>
      <c r="Y10" s="194"/>
      <c r="Z10" s="194"/>
    </row>
    <row r="11" spans="1:26" s="63" customFormat="1" ht="15" x14ac:dyDescent="0.25">
      <c r="A11" s="64" t="str">
        <f>A1</f>
        <v>Финансовая модель реализации проектов строительства жилья специализированным застройщиком</v>
      </c>
      <c r="B11" s="62"/>
      <c r="C11" s="62" t="s">
        <v>15</v>
      </c>
      <c r="D11" s="62" t="s">
        <v>16</v>
      </c>
      <c r="E11" s="62" t="s">
        <v>17</v>
      </c>
      <c r="F11" s="62" t="s">
        <v>18</v>
      </c>
      <c r="G11" s="62" t="s">
        <v>15</v>
      </c>
      <c r="H11" s="62" t="s">
        <v>16</v>
      </c>
      <c r="I11" s="62" t="s">
        <v>17</v>
      </c>
      <c r="J11" s="62" t="s">
        <v>18</v>
      </c>
      <c r="K11" s="62" t="s">
        <v>15</v>
      </c>
      <c r="L11" s="62" t="s">
        <v>16</v>
      </c>
      <c r="M11" s="62" t="s">
        <v>17</v>
      </c>
      <c r="N11" s="62" t="s">
        <v>18</v>
      </c>
      <c r="O11" s="62" t="s">
        <v>15</v>
      </c>
      <c r="P11" s="62" t="s">
        <v>16</v>
      </c>
      <c r="Q11" s="62" t="s">
        <v>17</v>
      </c>
      <c r="R11" s="62" t="s">
        <v>18</v>
      </c>
      <c r="S11" s="62" t="s">
        <v>15</v>
      </c>
      <c r="T11" s="62" t="s">
        <v>16</v>
      </c>
      <c r="U11" s="62" t="s">
        <v>17</v>
      </c>
      <c r="V11" s="62" t="s">
        <v>18</v>
      </c>
      <c r="W11" s="62" t="s">
        <v>15</v>
      </c>
      <c r="X11" s="62" t="s">
        <v>16</v>
      </c>
      <c r="Y11" s="62" t="s">
        <v>17</v>
      </c>
      <c r="Z11" s="62" t="s">
        <v>18</v>
      </c>
    </row>
    <row r="12" spans="1:26" x14ac:dyDescent="0.2">
      <c r="A12" s="36" t="s">
        <v>52</v>
      </c>
      <c r="B12" s="34"/>
      <c r="C12" s="35"/>
      <c r="D12" s="35"/>
      <c r="E12" s="35"/>
      <c r="F12" s="35"/>
      <c r="G12" s="35"/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19</v>
      </c>
      <c r="N12" s="35" t="s">
        <v>19</v>
      </c>
      <c r="O12" s="35" t="s">
        <v>53</v>
      </c>
      <c r="P12" s="35" t="s">
        <v>53</v>
      </c>
      <c r="Q12" s="35" t="s">
        <v>53</v>
      </c>
      <c r="R12" s="35" t="s">
        <v>53</v>
      </c>
      <c r="S12" s="35"/>
      <c r="T12" s="35"/>
      <c r="U12" s="35"/>
      <c r="V12" s="35"/>
      <c r="W12" s="11"/>
      <c r="X12" s="11"/>
      <c r="Y12" s="11"/>
      <c r="Z12" s="11"/>
    </row>
    <row r="13" spans="1:26" x14ac:dyDescent="0.2">
      <c r="A13" s="36" t="s">
        <v>83</v>
      </c>
      <c r="B13" s="34"/>
      <c r="C13" s="35"/>
      <c r="D13" s="35"/>
      <c r="E13" s="35"/>
      <c r="F13" s="35"/>
      <c r="G13" s="35"/>
      <c r="H13" s="35" t="s">
        <v>54</v>
      </c>
      <c r="I13" s="35" t="s">
        <v>54</v>
      </c>
      <c r="J13" s="35" t="s">
        <v>55</v>
      </c>
      <c r="K13" s="35" t="s">
        <v>55</v>
      </c>
      <c r="L13" s="35" t="s">
        <v>55</v>
      </c>
      <c r="M13" s="35" t="s">
        <v>55</v>
      </c>
      <c r="N13" s="35" t="s">
        <v>55</v>
      </c>
      <c r="O13" s="35" t="s">
        <v>55</v>
      </c>
      <c r="P13" s="35" t="s">
        <v>55</v>
      </c>
      <c r="Q13" s="35" t="s">
        <v>55</v>
      </c>
      <c r="R13" s="35" t="s">
        <v>55</v>
      </c>
      <c r="S13" s="35"/>
      <c r="T13" s="35"/>
      <c r="U13" s="35"/>
      <c r="V13" s="35"/>
      <c r="W13" s="11"/>
      <c r="X13" s="11"/>
      <c r="Y13" s="11"/>
      <c r="Z13" s="11"/>
    </row>
    <row r="14" spans="1:26" x14ac:dyDescent="0.2">
      <c r="A14" s="36" t="s">
        <v>45</v>
      </c>
      <c r="B14" s="51">
        <f>B17/B5</f>
        <v>66.488637598226134</v>
      </c>
      <c r="C14" s="35">
        <f>'Э1 (СЗ)'!C14*(1+ИДиР!B27/2*0)</f>
        <v>57.3</v>
      </c>
      <c r="D14" s="35">
        <f>IF(D12="С",C14*(1+ИДиР!$B$26/4),IF(D12="Э",MAX(C14*(1+ИДиР!$B$27/4),51),MAX(51,C14)))</f>
        <v>57.3</v>
      </c>
      <c r="E14" s="35">
        <f>IF(E12="С",D14*(1+ИДиР!$B$26/4),IF(E12="Э",MAX(D14*(1+ИДиР!$B$27/4),51),MAX(51,D14)))</f>
        <v>57.3</v>
      </c>
      <c r="F14" s="35">
        <f>IF(F12="С",E14*(1+ИДиР!$B$26/4),IF(F12="Э",MAX(E14*(1+ИДиР!$B$27/4),51),MAX(51,E14)))</f>
        <v>57.3</v>
      </c>
      <c r="G14" s="35">
        <f>IF(G12="С",F14*(1+ИДиР!$B$26/4),IF(G12="Э",MAX(F14*(1+ИДиР!$B$27/4),51),MAX(51,F14)))</f>
        <v>57.3</v>
      </c>
      <c r="H14" s="35">
        <f>IF(H12="С",G14*(1+ИДиР!$B$26/4),IF(H12="Э",MAX(G14*(1+ИДиР!$B$27/4),51),MAX(51,G14)))</f>
        <v>58.589249999999993</v>
      </c>
      <c r="I14" s="35">
        <f>IF(I12="С",H14*(1+ИДиР!$B$26/4),IF(I12="Э",MAX(H14*(1+ИДиР!$B$27/4),51),MAX(51,H14)))</f>
        <v>59.907508124999993</v>
      </c>
      <c r="J14" s="35">
        <f>IF(J12="С",I14*(1+ИДиР!$B$26/4),IF(J12="Э",MAX(I14*(1+ИДиР!$B$27/4),51),MAX(51,I14)))</f>
        <v>61.25542705781249</v>
      </c>
      <c r="K14" s="35">
        <f>IF(K12="С",J14*(1+ИДиР!$B$26/4),IF(K12="Э",MAX(J14*(1+ИДиР!$B$27/4),51),MAX(51,J14)))</f>
        <v>62.633674166613268</v>
      </c>
      <c r="L14" s="35">
        <f>IF(L12="С",K14*(1+ИДиР!$B$26/4),IF(L12="Э",MAX(K14*(1+ИДиР!$B$27/4),51),MAX(51,K14)))</f>
        <v>64.042931835362069</v>
      </c>
      <c r="M14" s="35">
        <f>IF(M12="С",L14*(1+ИДиР!$B$26/4),IF(M12="Э",MAX(L14*(1+ИДиР!$B$27/4),51),MAX(51,L14)))</f>
        <v>65.483897801657719</v>
      </c>
      <c r="N14" s="35">
        <f>IF(N12="С",M14*(1+ИДиР!$B$26/4),IF(N12="Э",MAX(M14*(1+ИДиР!$B$27/4),51),MAX(51,M14)))</f>
        <v>66.95728550219502</v>
      </c>
      <c r="O14" s="35">
        <f>IF(O12="С",N14*(1+ИДиР!$B$26/4),IF(O12="Э",MAX(N14*(1+ИДиР!$B$27/4),51),MAX(51,N14)))</f>
        <v>67.961644784727937</v>
      </c>
      <c r="P14" s="35">
        <f>IF(P12="С",O14*(1+ИДиР!$B$26/4),IF(P12="Э",MAX(O14*(1+ИДиР!$B$27/4),51),MAX(51,O14)))</f>
        <v>68.981069456498844</v>
      </c>
      <c r="Q14" s="35">
        <f>IF(Q12="С",P14*(1+ИДиР!$B$26/4),IF(Q12="Э",MAX(P14*(1+ИДиР!$B$27/4),51),MAX(51,P14)))</f>
        <v>70.015785498346318</v>
      </c>
      <c r="R14" s="35">
        <f>IF(R12="С",Q14*(1+ИДиР!$B$26/4),IF(R12="Э",MAX(Q14*(1+ИДиР!$B$27/4),51),MAX(51,Q14)))</f>
        <v>71.0660222808215</v>
      </c>
      <c r="S14" s="35">
        <f>IF(S12="С",R14*(1+ИДиР!$B$26/4),IF(S12="Э",MAX(R14*(1+ИДиР!$B$27/4),51),MAX(51,R14)))</f>
        <v>71.0660222808215</v>
      </c>
      <c r="T14" s="35">
        <f>IF(T12="С",S14*(1+ИДиР!$B$26/4),IF(T12="Э",MAX(S14*(1+ИДиР!$B$27/4),51),MAX(51,S14)))</f>
        <v>71.0660222808215</v>
      </c>
      <c r="U14" s="35">
        <f>IF(U12="С",T14*(1+ИДиР!$B$26/4),IF(U12="Э",MAX(T14*(1+ИДиР!$B$27/4),51),MAX(51,T14)))</f>
        <v>71.0660222808215</v>
      </c>
      <c r="V14" s="35">
        <f>IF(V12="С",U14*(1+ИДиР!$B$26/4),IF(V12="Э",MAX(U14*(1+ИДиР!$B$27/4),51),MAX(51,U14)))</f>
        <v>71.0660222808215</v>
      </c>
      <c r="W14" s="35">
        <f>Свод!W9</f>
        <v>72.66500778213998</v>
      </c>
      <c r="X14" s="35">
        <f>Свод!X9</f>
        <v>74.299970457238132</v>
      </c>
      <c r="Y14" s="35">
        <f>Свод!Y9</f>
        <v>75.971719792525988</v>
      </c>
      <c r="Z14" s="35">
        <f>Свод!Z9</f>
        <v>77.681083487857819</v>
      </c>
    </row>
    <row r="15" spans="1:26" x14ac:dyDescent="0.2">
      <c r="A15" s="36" t="s">
        <v>158</v>
      </c>
      <c r="B15" s="174">
        <f t="shared" ref="B15:B20" si="0">SUM(C15:Z15)</f>
        <v>13614.75</v>
      </c>
      <c r="C15" s="173">
        <f>IF(C13="Р",$B$5/COUNTIF(13:13,"Р"),0)</f>
        <v>0</v>
      </c>
      <c r="D15" s="173">
        <f t="shared" ref="D15:V15" si="1">IF(D13="Р",$B$5/COUNTIF(13:13,"Р"),0)</f>
        <v>0</v>
      </c>
      <c r="E15" s="173">
        <f t="shared" si="1"/>
        <v>0</v>
      </c>
      <c r="F15" s="173">
        <f t="shared" si="1"/>
        <v>0</v>
      </c>
      <c r="G15" s="173">
        <f t="shared" si="1"/>
        <v>0</v>
      </c>
      <c r="H15" s="173">
        <f t="shared" si="1"/>
        <v>0</v>
      </c>
      <c r="I15" s="173">
        <f t="shared" si="1"/>
        <v>0</v>
      </c>
      <c r="J15" s="173">
        <f t="shared" si="1"/>
        <v>1512.75</v>
      </c>
      <c r="K15" s="173">
        <f t="shared" si="1"/>
        <v>1512.75</v>
      </c>
      <c r="L15" s="173">
        <f t="shared" si="1"/>
        <v>1512.75</v>
      </c>
      <c r="M15" s="173">
        <f t="shared" si="1"/>
        <v>1512.75</v>
      </c>
      <c r="N15" s="173">
        <f t="shared" si="1"/>
        <v>1512.75</v>
      </c>
      <c r="O15" s="173">
        <f t="shared" si="1"/>
        <v>1512.75</v>
      </c>
      <c r="P15" s="173">
        <f t="shared" si="1"/>
        <v>1512.75</v>
      </c>
      <c r="Q15" s="173">
        <f t="shared" si="1"/>
        <v>1512.75</v>
      </c>
      <c r="R15" s="173">
        <f t="shared" si="1"/>
        <v>1512.75</v>
      </c>
      <c r="S15" s="173">
        <f t="shared" si="1"/>
        <v>0</v>
      </c>
      <c r="T15" s="173">
        <f t="shared" si="1"/>
        <v>0</v>
      </c>
      <c r="U15" s="173">
        <f t="shared" si="1"/>
        <v>0</v>
      </c>
      <c r="V15" s="173">
        <f t="shared" si="1"/>
        <v>0</v>
      </c>
      <c r="W15" s="35"/>
      <c r="X15" s="35"/>
      <c r="Y15" s="35"/>
      <c r="Z15" s="35"/>
    </row>
    <row r="16" spans="1:26" s="44" customFormat="1" x14ac:dyDescent="0.2">
      <c r="A16" s="43" t="s">
        <v>12</v>
      </c>
      <c r="B16" s="49">
        <f t="shared" si="0"/>
        <v>932028.60081583331</v>
      </c>
      <c r="C16" s="49">
        <f t="shared" ref="C16:V16" si="2">SUM(C17:C20)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13401.211037692028</v>
      </c>
      <c r="I16" s="49">
        <f t="shared" si="2"/>
        <v>13401.211037692028</v>
      </c>
      <c r="J16" s="49">
        <f t="shared" si="2"/>
        <v>92664.147281705838</v>
      </c>
      <c r="K16" s="49">
        <f t="shared" si="2"/>
        <v>94749.090595544229</v>
      </c>
      <c r="L16" s="49">
        <f t="shared" si="2"/>
        <v>96880.945133943969</v>
      </c>
      <c r="M16" s="49">
        <f t="shared" si="2"/>
        <v>99060.766399457716</v>
      </c>
      <c r="N16" s="49">
        <f t="shared" si="2"/>
        <v>101289.63364344552</v>
      </c>
      <c r="O16" s="49">
        <f t="shared" si="2"/>
        <v>102808.97814809719</v>
      </c>
      <c r="P16" s="49">
        <f t="shared" si="2"/>
        <v>104351.11282031862</v>
      </c>
      <c r="Q16" s="49">
        <f t="shared" si="2"/>
        <v>105916.37951262339</v>
      </c>
      <c r="R16" s="49">
        <f t="shared" si="2"/>
        <v>107505.12520531272</v>
      </c>
      <c r="S16" s="49">
        <f t="shared" si="2"/>
        <v>0</v>
      </c>
      <c r="T16" s="49">
        <f t="shared" si="2"/>
        <v>0</v>
      </c>
      <c r="U16" s="49">
        <f t="shared" si="2"/>
        <v>0</v>
      </c>
      <c r="V16" s="49">
        <f t="shared" si="2"/>
        <v>0</v>
      </c>
      <c r="W16" s="49">
        <f t="shared" ref="W16:Z16" si="3">SUM(W17:W20)</f>
        <v>0</v>
      </c>
      <c r="X16" s="49">
        <f t="shared" si="3"/>
        <v>0</v>
      </c>
      <c r="Y16" s="49">
        <f t="shared" si="3"/>
        <v>0</v>
      </c>
      <c r="Z16" s="49">
        <f t="shared" si="3"/>
        <v>0</v>
      </c>
    </row>
    <row r="17" spans="1:26" x14ac:dyDescent="0.2">
      <c r="A17" s="9" t="s">
        <v>44</v>
      </c>
      <c r="B17" s="4">
        <f t="shared" si="0"/>
        <v>905226.17874044925</v>
      </c>
      <c r="C17" s="38">
        <f t="shared" ref="C17:Z17" si="4">IF(C13="Р",$B$5*C14/COUNTIF(13:13,"Р"),0)</f>
        <v>0</v>
      </c>
      <c r="D17" s="38">
        <f t="shared" si="4"/>
        <v>0</v>
      </c>
      <c r="E17" s="38">
        <f t="shared" si="4"/>
        <v>0</v>
      </c>
      <c r="F17" s="38">
        <f t="shared" si="4"/>
        <v>0</v>
      </c>
      <c r="G17" s="38">
        <f t="shared" si="4"/>
        <v>0</v>
      </c>
      <c r="H17" s="38">
        <f t="shared" si="4"/>
        <v>0</v>
      </c>
      <c r="I17" s="38">
        <f t="shared" si="4"/>
        <v>0</v>
      </c>
      <c r="J17" s="38">
        <f t="shared" si="4"/>
        <v>92664.147281705838</v>
      </c>
      <c r="K17" s="38">
        <f t="shared" si="4"/>
        <v>94749.090595544229</v>
      </c>
      <c r="L17" s="38">
        <f t="shared" si="4"/>
        <v>96880.945133943969</v>
      </c>
      <c r="M17" s="38">
        <f t="shared" si="4"/>
        <v>99060.766399457716</v>
      </c>
      <c r="N17" s="38">
        <f t="shared" si="4"/>
        <v>101289.63364344552</v>
      </c>
      <c r="O17" s="38">
        <f t="shared" si="4"/>
        <v>102808.97814809719</v>
      </c>
      <c r="P17" s="38">
        <f t="shared" si="4"/>
        <v>104351.11282031862</v>
      </c>
      <c r="Q17" s="38">
        <f t="shared" si="4"/>
        <v>105916.37951262339</v>
      </c>
      <c r="R17" s="38">
        <f t="shared" si="4"/>
        <v>107505.12520531272</v>
      </c>
      <c r="S17" s="38">
        <f t="shared" si="4"/>
        <v>0</v>
      </c>
      <c r="T17" s="38">
        <f t="shared" si="4"/>
        <v>0</v>
      </c>
      <c r="U17" s="38">
        <f t="shared" si="4"/>
        <v>0</v>
      </c>
      <c r="V17" s="38">
        <f t="shared" si="4"/>
        <v>0</v>
      </c>
      <c r="W17" s="38">
        <f t="shared" si="4"/>
        <v>0</v>
      </c>
      <c r="X17" s="38">
        <f t="shared" si="4"/>
        <v>0</v>
      </c>
      <c r="Y17" s="38">
        <f t="shared" si="4"/>
        <v>0</v>
      </c>
      <c r="Z17" s="38">
        <f t="shared" si="4"/>
        <v>0</v>
      </c>
    </row>
    <row r="18" spans="1:26" x14ac:dyDescent="0.2">
      <c r="A18" s="9" t="s">
        <v>39</v>
      </c>
      <c r="B18" s="4">
        <f t="shared" si="0"/>
        <v>0</v>
      </c>
      <c r="C18" s="39">
        <f>B44*ИДиР!$B$22/4</f>
        <v>0</v>
      </c>
      <c r="D18" s="39">
        <f>C44*ИДиР!$B$22/4</f>
        <v>0</v>
      </c>
      <c r="E18" s="39">
        <f>D44*ИДиР!$B$22/4</f>
        <v>0</v>
      </c>
      <c r="F18" s="39">
        <f>E44*ИДиР!$B$22/4</f>
        <v>0</v>
      </c>
      <c r="G18" s="39">
        <f>F44*ИДиР!$B$22/4</f>
        <v>0</v>
      </c>
      <c r="H18" s="39">
        <f>G44*ИДиР!$B$22/4</f>
        <v>0</v>
      </c>
      <c r="I18" s="39">
        <f>H44*ИДиР!$B$22/4</f>
        <v>0</v>
      </c>
      <c r="J18" s="39">
        <f>I44*ИДиР!$B$22/4</f>
        <v>0</v>
      </c>
      <c r="K18" s="39">
        <f>J44*ИДиР!$B$22/4</f>
        <v>0</v>
      </c>
      <c r="L18" s="39">
        <f>K44*ИДиР!$B$22/4</f>
        <v>0</v>
      </c>
      <c r="M18" s="39">
        <f>L44*ИДиР!$B$22/4</f>
        <v>0</v>
      </c>
      <c r="N18" s="39">
        <f>M44*ИДиР!$B$22/4</f>
        <v>0</v>
      </c>
      <c r="O18" s="39">
        <f>N44*ИДиР!$B$22/4</f>
        <v>0</v>
      </c>
      <c r="P18" s="39">
        <f>O44*ИДиР!$B$22/4</f>
        <v>0</v>
      </c>
      <c r="Q18" s="39">
        <f>P44*ИДиР!$B$22/4</f>
        <v>0</v>
      </c>
      <c r="R18" s="39">
        <f>Q44*ИДиР!$B$22/4</f>
        <v>0</v>
      </c>
      <c r="S18" s="39">
        <f>R44*ИДиР!$B$22/4</f>
        <v>0</v>
      </c>
      <c r="T18" s="39">
        <f>S44*ИДиР!$B$22/4</f>
        <v>0</v>
      </c>
      <c r="U18" s="39">
        <f>T44*ИДиР!$B$22/4</f>
        <v>0</v>
      </c>
      <c r="V18" s="39">
        <f>U44*ИДиР!$B$22/4</f>
        <v>0</v>
      </c>
      <c r="W18" s="39">
        <f>V44*ИДиР!$B$22/4</f>
        <v>0</v>
      </c>
      <c r="X18" s="39">
        <f>W44*ИДиР!$B$22/4</f>
        <v>0</v>
      </c>
      <c r="Y18" s="39">
        <f>X44*ИДиР!$B$22/4</f>
        <v>0</v>
      </c>
      <c r="Z18" s="39">
        <f>Y44*ИДиР!$B$22/4</f>
        <v>0</v>
      </c>
    </row>
    <row r="19" spans="1:26" x14ac:dyDescent="0.2">
      <c r="A19" s="9" t="s">
        <v>20</v>
      </c>
      <c r="B19" s="4">
        <f t="shared" si="0"/>
        <v>13480.389200384054</v>
      </c>
      <c r="C19" s="38"/>
      <c r="D19" s="38"/>
      <c r="E19" s="38">
        <f t="shared" ref="E19:F19" si="5">IF(E13="У",-E22-E20,0)</f>
        <v>0</v>
      </c>
      <c r="F19" s="38">
        <f t="shared" si="5"/>
        <v>0</v>
      </c>
      <c r="G19" s="38">
        <f>IF(G13="У",-G22-G20,0)</f>
        <v>0</v>
      </c>
      <c r="H19" s="38">
        <f t="shared" ref="H19:Z19" si="6">IF(H13="У",-H22-H20,0)</f>
        <v>6740.1946001920269</v>
      </c>
      <c r="I19" s="38">
        <f t="shared" si="6"/>
        <v>6740.1946001920269</v>
      </c>
      <c r="J19" s="38">
        <f t="shared" si="6"/>
        <v>0</v>
      </c>
      <c r="K19" s="38">
        <f t="shared" si="6"/>
        <v>0</v>
      </c>
      <c r="L19" s="38">
        <f t="shared" si="6"/>
        <v>0</v>
      </c>
      <c r="M19" s="38">
        <f t="shared" si="6"/>
        <v>0</v>
      </c>
      <c r="N19" s="38">
        <f t="shared" si="6"/>
        <v>0</v>
      </c>
      <c r="O19" s="38">
        <f t="shared" si="6"/>
        <v>0</v>
      </c>
      <c r="P19" s="38">
        <f t="shared" si="6"/>
        <v>0</v>
      </c>
      <c r="Q19" s="38">
        <f t="shared" si="6"/>
        <v>0</v>
      </c>
      <c r="R19" s="38">
        <f t="shared" si="6"/>
        <v>0</v>
      </c>
      <c r="S19" s="38">
        <f t="shared" si="6"/>
        <v>0</v>
      </c>
      <c r="T19" s="38">
        <f t="shared" si="6"/>
        <v>0</v>
      </c>
      <c r="U19" s="38">
        <f t="shared" si="6"/>
        <v>0</v>
      </c>
      <c r="V19" s="38">
        <f t="shared" si="6"/>
        <v>0</v>
      </c>
      <c r="W19" s="38">
        <f t="shared" si="6"/>
        <v>0</v>
      </c>
      <c r="X19" s="38">
        <f t="shared" si="6"/>
        <v>0</v>
      </c>
      <c r="Y19" s="38">
        <f t="shared" si="6"/>
        <v>0</v>
      </c>
      <c r="Z19" s="38">
        <f t="shared" si="6"/>
        <v>0</v>
      </c>
    </row>
    <row r="20" spans="1:26" x14ac:dyDescent="0.2">
      <c r="A20" s="9" t="s">
        <v>21</v>
      </c>
      <c r="B20" s="4">
        <f t="shared" si="0"/>
        <v>13322.032875000003</v>
      </c>
      <c r="C20" s="38"/>
      <c r="D20" s="38"/>
      <c r="E20" s="38">
        <f t="shared" ref="E20:Z20" si="7">IF(E13="У",$B$7*$B$8/COUNTIF(13:13,"У"),0)</f>
        <v>0</v>
      </c>
      <c r="F20" s="38">
        <f t="shared" si="7"/>
        <v>0</v>
      </c>
      <c r="G20" s="38">
        <f t="shared" si="7"/>
        <v>0</v>
      </c>
      <c r="H20" s="38">
        <f t="shared" si="7"/>
        <v>6661.0164375000013</v>
      </c>
      <c r="I20" s="38">
        <f t="shared" si="7"/>
        <v>6661.0164375000013</v>
      </c>
      <c r="J20" s="38">
        <f t="shared" si="7"/>
        <v>0</v>
      </c>
      <c r="K20" s="38">
        <f t="shared" si="7"/>
        <v>0</v>
      </c>
      <c r="L20" s="38">
        <f t="shared" si="7"/>
        <v>0</v>
      </c>
      <c r="M20" s="38">
        <f t="shared" si="7"/>
        <v>0</v>
      </c>
      <c r="N20" s="38">
        <f t="shared" si="7"/>
        <v>0</v>
      </c>
      <c r="O20" s="38">
        <f t="shared" si="7"/>
        <v>0</v>
      </c>
      <c r="P20" s="38">
        <f t="shared" si="7"/>
        <v>0</v>
      </c>
      <c r="Q20" s="38">
        <f t="shared" si="7"/>
        <v>0</v>
      </c>
      <c r="R20" s="38">
        <f t="shared" si="7"/>
        <v>0</v>
      </c>
      <c r="S20" s="38">
        <f t="shared" si="7"/>
        <v>0</v>
      </c>
      <c r="T20" s="38">
        <f t="shared" si="7"/>
        <v>0</v>
      </c>
      <c r="U20" s="38">
        <f t="shared" si="7"/>
        <v>0</v>
      </c>
      <c r="V20" s="38">
        <f t="shared" si="7"/>
        <v>0</v>
      </c>
      <c r="W20" s="38">
        <f t="shared" si="7"/>
        <v>0</v>
      </c>
      <c r="X20" s="38">
        <f t="shared" si="7"/>
        <v>0</v>
      </c>
      <c r="Y20" s="38">
        <f t="shared" si="7"/>
        <v>0</v>
      </c>
      <c r="Z20" s="38">
        <f t="shared" si="7"/>
        <v>0</v>
      </c>
    </row>
    <row r="21" spans="1:26" s="28" customFormat="1" x14ac:dyDescent="0.2">
      <c r="A21" s="29" t="s">
        <v>22</v>
      </c>
      <c r="B21" s="65"/>
      <c r="C21" s="42">
        <f t="shared" ref="C21:V21" si="8">B21+C20+C26</f>
        <v>0</v>
      </c>
      <c r="D21" s="42">
        <f t="shared" si="8"/>
        <v>0</v>
      </c>
      <c r="E21" s="42">
        <f t="shared" si="8"/>
        <v>0</v>
      </c>
      <c r="F21" s="42">
        <f t="shared" si="8"/>
        <v>0</v>
      </c>
      <c r="G21" s="42">
        <f t="shared" si="8"/>
        <v>0</v>
      </c>
      <c r="H21" s="42">
        <f t="shared" si="8"/>
        <v>6661.0164375000013</v>
      </c>
      <c r="I21" s="42">
        <f t="shared" si="8"/>
        <v>13322.032875000003</v>
      </c>
      <c r="J21" s="42">
        <f t="shared" si="8"/>
        <v>13322.032875000003</v>
      </c>
      <c r="K21" s="42">
        <f t="shared" si="8"/>
        <v>13322.032875000003</v>
      </c>
      <c r="L21" s="42">
        <f t="shared" si="8"/>
        <v>13322.032875000003</v>
      </c>
      <c r="M21" s="42">
        <f t="shared" si="8"/>
        <v>13322.032875000003</v>
      </c>
      <c r="N21" s="42">
        <f t="shared" si="8"/>
        <v>13322.032875000003</v>
      </c>
      <c r="O21" s="42">
        <f t="shared" si="8"/>
        <v>13322.032875000003</v>
      </c>
      <c r="P21" s="42">
        <f t="shared" si="8"/>
        <v>0</v>
      </c>
      <c r="Q21" s="42">
        <f t="shared" si="8"/>
        <v>0</v>
      </c>
      <c r="R21" s="42">
        <f t="shared" si="8"/>
        <v>0</v>
      </c>
      <c r="S21" s="42">
        <f t="shared" si="8"/>
        <v>0</v>
      </c>
      <c r="T21" s="42">
        <f t="shared" si="8"/>
        <v>0</v>
      </c>
      <c r="U21" s="42">
        <f t="shared" si="8"/>
        <v>0</v>
      </c>
      <c r="V21" s="42">
        <f t="shared" si="8"/>
        <v>0</v>
      </c>
      <c r="W21" s="42">
        <f t="shared" ref="W21:Z21" si="9">V21+W20+W26</f>
        <v>0</v>
      </c>
      <c r="X21" s="42">
        <f t="shared" si="9"/>
        <v>0</v>
      </c>
      <c r="Y21" s="42">
        <f t="shared" si="9"/>
        <v>0</v>
      </c>
      <c r="Z21" s="42">
        <f t="shared" si="9"/>
        <v>0</v>
      </c>
    </row>
    <row r="22" spans="1:26" s="44" customFormat="1" x14ac:dyDescent="0.2">
      <c r="A22" s="43" t="s">
        <v>13</v>
      </c>
      <c r="B22" s="49">
        <f t="shared" ref="B22:B29" si="10">SUM(C22:Z22)</f>
        <v>-602881.58303900459</v>
      </c>
      <c r="C22" s="49">
        <f t="shared" ref="C22:V22" si="11">SUM(C23:C29)</f>
        <v>0</v>
      </c>
      <c r="D22" s="49">
        <f t="shared" si="11"/>
        <v>0</v>
      </c>
      <c r="E22" s="49">
        <f t="shared" si="11"/>
        <v>0</v>
      </c>
      <c r="F22" s="49">
        <f t="shared" si="11"/>
        <v>0</v>
      </c>
      <c r="G22" s="49">
        <f t="shared" si="11"/>
        <v>0</v>
      </c>
      <c r="H22" s="49">
        <f t="shared" si="11"/>
        <v>-13401.211037692028</v>
      </c>
      <c r="I22" s="49">
        <f t="shared" si="11"/>
        <v>-13401.211037692028</v>
      </c>
      <c r="J22" s="49">
        <f t="shared" si="11"/>
        <v>-109777.3338230935</v>
      </c>
      <c r="K22" s="49">
        <f t="shared" si="11"/>
        <v>-106342.79170142629</v>
      </c>
      <c r="L22" s="49">
        <f t="shared" si="11"/>
        <v>-107859.63495228563</v>
      </c>
      <c r="M22" s="49">
        <f t="shared" si="11"/>
        <v>-109388.71043722877</v>
      </c>
      <c r="N22" s="49">
        <f t="shared" si="11"/>
        <v>-110929.74596304602</v>
      </c>
      <c r="O22" s="49">
        <f t="shared" si="11"/>
        <v>-9605.5776967127349</v>
      </c>
      <c r="P22" s="49">
        <f t="shared" si="11"/>
        <v>-17906.936295468877</v>
      </c>
      <c r="Q22" s="49">
        <f t="shared" si="11"/>
        <v>-2118.3275902524679</v>
      </c>
      <c r="R22" s="49">
        <f t="shared" si="11"/>
        <v>-2150.1025041062544</v>
      </c>
      <c r="S22" s="49">
        <f t="shared" si="11"/>
        <v>0</v>
      </c>
      <c r="T22" s="49">
        <f t="shared" si="11"/>
        <v>0</v>
      </c>
      <c r="U22" s="49">
        <f t="shared" si="11"/>
        <v>0</v>
      </c>
      <c r="V22" s="49">
        <f t="shared" si="11"/>
        <v>0</v>
      </c>
      <c r="W22" s="49">
        <f t="shared" ref="W22:Z22" si="12">SUM(W23:W27)</f>
        <v>0</v>
      </c>
      <c r="X22" s="49">
        <f t="shared" si="12"/>
        <v>0</v>
      </c>
      <c r="Y22" s="49">
        <f t="shared" si="12"/>
        <v>0</v>
      </c>
      <c r="Z22" s="49">
        <f t="shared" si="12"/>
        <v>0</v>
      </c>
    </row>
    <row r="23" spans="1:26" x14ac:dyDescent="0.2">
      <c r="A23" s="9" t="s">
        <v>23</v>
      </c>
      <c r="B23" s="4">
        <f t="shared" si="10"/>
        <v>-532881.31499999994</v>
      </c>
      <c r="C23" s="38"/>
      <c r="D23" s="38"/>
      <c r="E23" s="38">
        <f t="shared" ref="E23:V23" si="13">IF(E12="С",IF(E13="У",-$B$7/COUNTIF(13:13,"У"),-($B$6-$B$7)/(COUNTIF(12:12,"С")-COUNTIF(13:13,"У"))),0)</f>
        <v>0</v>
      </c>
      <c r="F23" s="38">
        <f t="shared" si="13"/>
        <v>0</v>
      </c>
      <c r="G23" s="38">
        <f t="shared" si="13"/>
        <v>0</v>
      </c>
      <c r="H23" s="38">
        <f t="shared" si="13"/>
        <v>-13322.032875000003</v>
      </c>
      <c r="I23" s="38">
        <f>IF(I12="С",IF(I13="У",-$B$7/COUNTIF(13:13,"У"),-($B$6-$B$7)/(COUNTIF(12:12,"С")-COUNTIF(13:13,"У"))),0)</f>
        <v>-13322.032875000003</v>
      </c>
      <c r="J23" s="38">
        <f t="shared" si="13"/>
        <v>-101247.44985</v>
      </c>
      <c r="K23" s="38">
        <f t="shared" si="13"/>
        <v>-101247.44985</v>
      </c>
      <c r="L23" s="38">
        <f t="shared" si="13"/>
        <v>-101247.44985</v>
      </c>
      <c r="M23" s="38">
        <f t="shared" si="13"/>
        <v>-101247.44985</v>
      </c>
      <c r="N23" s="38">
        <f t="shared" si="13"/>
        <v>-101247.44985</v>
      </c>
      <c r="O23" s="38">
        <f t="shared" si="13"/>
        <v>0</v>
      </c>
      <c r="P23" s="38">
        <f t="shared" si="13"/>
        <v>0</v>
      </c>
      <c r="Q23" s="38">
        <f t="shared" si="13"/>
        <v>0</v>
      </c>
      <c r="R23" s="38">
        <f t="shared" si="13"/>
        <v>0</v>
      </c>
      <c r="S23" s="38">
        <f t="shared" si="13"/>
        <v>0</v>
      </c>
      <c r="T23" s="38">
        <f t="shared" si="13"/>
        <v>0</v>
      </c>
      <c r="U23" s="38">
        <f t="shared" si="13"/>
        <v>0</v>
      </c>
      <c r="V23" s="38">
        <f t="shared" si="13"/>
        <v>0</v>
      </c>
      <c r="W23" s="38">
        <f t="shared" ref="W23:Z23" si="14">IF(W12="С",IF(W13="У",-$B$7/COUNTIF(13:13,"У"),-($B$6-$B$7)/(COUNTIF(12:12,"С")-COUNTIF(13:13,"У"))),0)</f>
        <v>0</v>
      </c>
      <c r="X23" s="38">
        <f t="shared" si="14"/>
        <v>0</v>
      </c>
      <c r="Y23" s="38">
        <f t="shared" si="14"/>
        <v>0</v>
      </c>
      <c r="Z23" s="38">
        <f t="shared" si="14"/>
        <v>0</v>
      </c>
    </row>
    <row r="24" spans="1:26" x14ac:dyDescent="0.2">
      <c r="A24" s="9" t="s">
        <v>145</v>
      </c>
      <c r="B24" s="4">
        <f>SUM(C24:Z24)</f>
        <v>-21271.650082489992</v>
      </c>
      <c r="C24" s="38">
        <f t="shared" ref="C24:R24" si="15">-C17*2%+C23*$R$1</f>
        <v>0</v>
      </c>
      <c r="D24" s="38">
        <f t="shared" si="15"/>
        <v>0</v>
      </c>
      <c r="E24" s="38">
        <f t="shared" si="15"/>
        <v>0</v>
      </c>
      <c r="F24" s="38">
        <f t="shared" si="15"/>
        <v>0</v>
      </c>
      <c r="G24" s="38">
        <f t="shared" si="15"/>
        <v>0</v>
      </c>
      <c r="H24" s="38">
        <f t="shared" si="15"/>
        <v>-79.178162692025182</v>
      </c>
      <c r="I24" s="38">
        <f t="shared" si="15"/>
        <v>-79.178162692025182</v>
      </c>
      <c r="J24" s="38">
        <f t="shared" si="15"/>
        <v>-2455.0369820935084</v>
      </c>
      <c r="K24" s="38">
        <f t="shared" si="15"/>
        <v>-2496.7358483702756</v>
      </c>
      <c r="L24" s="38">
        <f t="shared" si="15"/>
        <v>-2539.3729391382708</v>
      </c>
      <c r="M24" s="38">
        <f t="shared" si="15"/>
        <v>-2582.9693644485455</v>
      </c>
      <c r="N24" s="38">
        <f t="shared" si="15"/>
        <v>-2627.5467093283014</v>
      </c>
      <c r="O24" s="38">
        <f t="shared" si="15"/>
        <v>-2056.1795629619437</v>
      </c>
      <c r="P24" s="38">
        <f t="shared" si="15"/>
        <v>-2087.0222564063724</v>
      </c>
      <c r="Q24" s="38">
        <f t="shared" si="15"/>
        <v>-2118.3275902524679</v>
      </c>
      <c r="R24" s="38">
        <f t="shared" si="15"/>
        <v>-2150.1025041062544</v>
      </c>
      <c r="S24" s="38">
        <f t="shared" ref="S24:Z24" si="16">-S17*2%+S23*0.5933%</f>
        <v>0</v>
      </c>
      <c r="T24" s="38">
        <f t="shared" si="16"/>
        <v>0</v>
      </c>
      <c r="U24" s="38">
        <f t="shared" si="16"/>
        <v>0</v>
      </c>
      <c r="V24" s="38">
        <f t="shared" si="16"/>
        <v>0</v>
      </c>
      <c r="W24" s="38">
        <f t="shared" si="16"/>
        <v>0</v>
      </c>
      <c r="X24" s="38">
        <f t="shared" si="16"/>
        <v>0</v>
      </c>
      <c r="Y24" s="38">
        <f t="shared" si="16"/>
        <v>0</v>
      </c>
      <c r="Z24" s="38">
        <f t="shared" si="16"/>
        <v>0</v>
      </c>
    </row>
    <row r="25" spans="1:26" x14ac:dyDescent="0.2">
      <c r="A25" s="9" t="s">
        <v>46</v>
      </c>
      <c r="B25" s="4">
        <f t="shared" si="10"/>
        <v>-22783.958932452093</v>
      </c>
      <c r="C25" s="126">
        <f t="shared" ref="C25:G25" si="17">-B37*C39/4</f>
        <v>0</v>
      </c>
      <c r="D25" s="126">
        <f t="shared" si="17"/>
        <v>0</v>
      </c>
      <c r="E25" s="126">
        <f t="shared" si="17"/>
        <v>0</v>
      </c>
      <c r="F25" s="126">
        <f t="shared" si="17"/>
        <v>0</v>
      </c>
      <c r="G25" s="126">
        <f t="shared" si="17"/>
        <v>0</v>
      </c>
      <c r="H25" s="126">
        <f>-G37*H39/4</f>
        <v>0</v>
      </c>
      <c r="I25" s="126">
        <f t="shared" ref="I25:V25" si="18">-H37*I39/4</f>
        <v>0</v>
      </c>
      <c r="J25" s="126">
        <f t="shared" si="18"/>
        <v>0</v>
      </c>
      <c r="K25" s="126">
        <f t="shared" si="18"/>
        <v>-1586.1315045560148</v>
      </c>
      <c r="L25" s="126">
        <f t="shared" si="18"/>
        <v>-3060.3376646473689</v>
      </c>
      <c r="M25" s="126">
        <f t="shared" si="18"/>
        <v>-4545.816724280211</v>
      </c>
      <c r="N25" s="126">
        <f t="shared" si="18"/>
        <v>-6042.2749052177087</v>
      </c>
      <c r="O25" s="126">
        <f t="shared" si="18"/>
        <v>-7549.3981337507921</v>
      </c>
      <c r="P25" s="126">
        <f t="shared" si="18"/>
        <v>0</v>
      </c>
      <c r="Q25" s="126">
        <f t="shared" si="18"/>
        <v>0</v>
      </c>
      <c r="R25" s="126">
        <f t="shared" si="18"/>
        <v>0</v>
      </c>
      <c r="S25" s="126">
        <f t="shared" si="18"/>
        <v>0</v>
      </c>
      <c r="T25" s="126">
        <f t="shared" si="18"/>
        <v>0</v>
      </c>
      <c r="U25" s="126">
        <f t="shared" si="18"/>
        <v>0</v>
      </c>
      <c r="V25" s="126">
        <f t="shared" si="18"/>
        <v>0</v>
      </c>
      <c r="W25" s="38">
        <f>-V38*ИДиР!$B$20/4-(V37-V38)*ИДиР!$B$21/4</f>
        <v>0</v>
      </c>
      <c r="X25" s="38">
        <f>-W38*ИДиР!$B$20/4-(W37-W38)*ИДиР!$B$21/4</f>
        <v>0</v>
      </c>
      <c r="Y25" s="38">
        <f>-X38*ИДиР!$B$20/4-(X37-X38)*ИДиР!$B$21/4</f>
        <v>0</v>
      </c>
      <c r="Z25" s="38">
        <f>-Y38*ИДиР!$B$20/4-(Y37-Y38)*ИДиР!$B$21/4</f>
        <v>0</v>
      </c>
    </row>
    <row r="26" spans="1:26" x14ac:dyDescent="0.2">
      <c r="A26" s="9" t="s">
        <v>24</v>
      </c>
      <c r="B26" s="4">
        <f t="shared" si="10"/>
        <v>-13322.032875000003</v>
      </c>
      <c r="C26" s="38"/>
      <c r="D26" s="38"/>
      <c r="E26" s="38">
        <f t="shared" ref="E26:Z26" si="19">IF(AND(E12="Э",D21&gt;0,D37=0),-$B$20,0)</f>
        <v>0</v>
      </c>
      <c r="F26" s="38">
        <f t="shared" si="19"/>
        <v>0</v>
      </c>
      <c r="G26" s="38">
        <f t="shared" si="19"/>
        <v>0</v>
      </c>
      <c r="H26" s="38">
        <f t="shared" si="19"/>
        <v>0</v>
      </c>
      <c r="I26" s="38">
        <f t="shared" si="19"/>
        <v>0</v>
      </c>
      <c r="J26" s="38">
        <f t="shared" si="19"/>
        <v>0</v>
      </c>
      <c r="K26" s="38">
        <f t="shared" si="19"/>
        <v>0</v>
      </c>
      <c r="L26" s="38">
        <f t="shared" si="19"/>
        <v>0</v>
      </c>
      <c r="M26" s="38">
        <f t="shared" si="19"/>
        <v>0</v>
      </c>
      <c r="N26" s="38">
        <f t="shared" si="19"/>
        <v>0</v>
      </c>
      <c r="O26" s="38">
        <f t="shared" si="19"/>
        <v>0</v>
      </c>
      <c r="P26" s="38">
        <f t="shared" si="19"/>
        <v>-13322.032875000003</v>
      </c>
      <c r="Q26" s="38">
        <f t="shared" si="19"/>
        <v>0</v>
      </c>
      <c r="R26" s="38">
        <f t="shared" si="19"/>
        <v>0</v>
      </c>
      <c r="S26" s="38">
        <f t="shared" si="19"/>
        <v>0</v>
      </c>
      <c r="T26" s="38">
        <f t="shared" si="19"/>
        <v>0</v>
      </c>
      <c r="U26" s="38">
        <f t="shared" si="19"/>
        <v>0</v>
      </c>
      <c r="V26" s="38">
        <f t="shared" si="19"/>
        <v>0</v>
      </c>
      <c r="W26" s="38">
        <f t="shared" si="19"/>
        <v>0</v>
      </c>
      <c r="X26" s="38">
        <f t="shared" si="19"/>
        <v>0</v>
      </c>
      <c r="Y26" s="38">
        <f t="shared" si="19"/>
        <v>0</v>
      </c>
      <c r="Z26" s="38">
        <f t="shared" si="19"/>
        <v>0</v>
      </c>
    </row>
    <row r="27" spans="1:26" x14ac:dyDescent="0.2">
      <c r="A27" s="9" t="s">
        <v>25</v>
      </c>
      <c r="B27" s="4">
        <f t="shared" si="10"/>
        <v>-2497.8811640625008</v>
      </c>
      <c r="C27" s="38"/>
      <c r="D27" s="38"/>
      <c r="E27" s="38">
        <f>IF(E26&lt;0,-SUM($C21:E21)*7.5%*1.25/4,0)</f>
        <v>0</v>
      </c>
      <c r="F27" s="38">
        <f>IF(F26&lt;0,-SUM($C21:F21)*7.5%*1.25/4,0)</f>
        <v>0</v>
      </c>
      <c r="G27" s="38">
        <f>IF(G26&lt;0,-SUM($C21:G21)*ИДиР!$B$19/4,0)</f>
        <v>0</v>
      </c>
      <c r="H27" s="38">
        <f>IF(H26&lt;0,-SUM($C21:H21)*ИДиР!$B$19/4,0)</f>
        <v>0</v>
      </c>
      <c r="I27" s="38">
        <f>IF(I26&lt;0,-SUM($C21:I21)*ИДиР!$B$19/4,0)</f>
        <v>0</v>
      </c>
      <c r="J27" s="38">
        <f>IF(J26&lt;0,-SUM($C21:J21)*ИДиР!$B$19/4,0)</f>
        <v>0</v>
      </c>
      <c r="K27" s="38">
        <f>IF(K26&lt;0,-SUM($C21:K21)*ИДиР!$B$19/4,0)</f>
        <v>0</v>
      </c>
      <c r="L27" s="38">
        <f>IF(L26&lt;0,-SUM($C21:L21)*ИДиР!$B$19/4,0)</f>
        <v>0</v>
      </c>
      <c r="M27" s="38">
        <f>IF(M26&lt;0,-SUM($C21:M21)*ИДиР!$B$19/4,0)</f>
        <v>0</v>
      </c>
      <c r="N27" s="38">
        <f>IF(N26&lt;0,-SUM($C21:N21)*ИДиР!$B$19/4,0)</f>
        <v>0</v>
      </c>
      <c r="O27" s="38">
        <f>IF(O26&lt;0,-SUM($C21:O21)*ИДиР!$B$19/4,0)</f>
        <v>0</v>
      </c>
      <c r="P27" s="38">
        <f>IF(P26&lt;0,-SUM($C21:P21)*ИДиР!$B$19/4,0)</f>
        <v>-2497.8811640625008</v>
      </c>
      <c r="Q27" s="38">
        <f>IF(Q26&lt;0,-SUM($C21:Q21)*ИДиР!$B$19/4,0)</f>
        <v>0</v>
      </c>
      <c r="R27" s="38">
        <f>IF(R26&lt;0,-SUM($C21:R21)*ИДиР!$B$19/4,0)</f>
        <v>0</v>
      </c>
      <c r="S27" s="38">
        <f>IF(S26&lt;0,-SUM($C21:S21)*ИДиР!$B$19/4,0)</f>
        <v>0</v>
      </c>
      <c r="T27" s="38">
        <f>IF(T26&lt;0,-SUM($C21:T21)*ИДиР!$B$19/4,0)</f>
        <v>0</v>
      </c>
      <c r="U27" s="38">
        <f>IF(U26&lt;0,-SUM($C21:U21)*ИДиР!$B$19/4,0)</f>
        <v>0</v>
      </c>
      <c r="V27" s="38">
        <f>IF(V26&lt;0,-SUM($C21:V21)*ИДиР!$B$19/4,0)</f>
        <v>0</v>
      </c>
      <c r="W27" s="38">
        <f>IF(W26&lt;0,-SUM($C21:W21)*ИДиР!$B$19/4,0)</f>
        <v>0</v>
      </c>
      <c r="X27" s="38">
        <f>IF(X26&lt;0,-SUM($C21:X21)*ИДиР!$B$19/4,0)</f>
        <v>0</v>
      </c>
      <c r="Y27" s="38">
        <f>IF(Y26&lt;0,-SUM($C21:Y21)*ИДиР!$B$19/4,0)</f>
        <v>0</v>
      </c>
      <c r="Z27" s="38">
        <f>IF(Z26&lt;0,-SUM($C21:Z21)*ИДиР!$B$19/4,0)</f>
        <v>0</v>
      </c>
    </row>
    <row r="28" spans="1:26" x14ac:dyDescent="0.2">
      <c r="A28" s="9" t="s">
        <v>126</v>
      </c>
      <c r="B28" s="4">
        <f t="shared" si="10"/>
        <v>-5062.3724925000006</v>
      </c>
      <c r="C28" s="38"/>
      <c r="D28" s="38">
        <f t="shared" ref="D28:V28" si="20">IF(D13="Р",IF(AND(D13="Р",D12="С"),D23*1%,0),0)</f>
        <v>0</v>
      </c>
      <c r="E28" s="38">
        <f t="shared" si="20"/>
        <v>0</v>
      </c>
      <c r="F28" s="38">
        <f t="shared" si="20"/>
        <v>0</v>
      </c>
      <c r="G28" s="38">
        <f t="shared" si="20"/>
        <v>0</v>
      </c>
      <c r="H28" s="38">
        <f t="shared" si="20"/>
        <v>0</v>
      </c>
      <c r="I28" s="38">
        <f t="shared" si="20"/>
        <v>0</v>
      </c>
      <c r="J28" s="38">
        <f t="shared" si="20"/>
        <v>-1012.4744985000001</v>
      </c>
      <c r="K28" s="38">
        <f t="shared" si="20"/>
        <v>-1012.4744985000001</v>
      </c>
      <c r="L28" s="38">
        <f t="shared" si="20"/>
        <v>-1012.4744985000001</v>
      </c>
      <c r="M28" s="38">
        <f t="shared" si="20"/>
        <v>-1012.4744985000001</v>
      </c>
      <c r="N28" s="38">
        <f t="shared" si="20"/>
        <v>-1012.4744985000001</v>
      </c>
      <c r="O28" s="38">
        <f t="shared" si="20"/>
        <v>0</v>
      </c>
      <c r="P28" s="38">
        <f t="shared" si="20"/>
        <v>0</v>
      </c>
      <c r="Q28" s="38">
        <f t="shared" si="20"/>
        <v>0</v>
      </c>
      <c r="R28" s="38">
        <f t="shared" si="20"/>
        <v>0</v>
      </c>
      <c r="S28" s="38">
        <f t="shared" si="20"/>
        <v>0</v>
      </c>
      <c r="T28" s="38">
        <f t="shared" si="20"/>
        <v>0</v>
      </c>
      <c r="U28" s="38">
        <f t="shared" si="20"/>
        <v>0</v>
      </c>
      <c r="V28" s="38">
        <f t="shared" si="20"/>
        <v>0</v>
      </c>
      <c r="W28" s="38"/>
      <c r="X28" s="38"/>
      <c r="Y28" s="38"/>
      <c r="Z28" s="38"/>
    </row>
    <row r="29" spans="1:26" x14ac:dyDescent="0.2">
      <c r="A29" s="9" t="s">
        <v>125</v>
      </c>
      <c r="B29" s="4">
        <f t="shared" si="10"/>
        <v>-5062.3724925000006</v>
      </c>
      <c r="C29" s="38"/>
      <c r="D29" s="38">
        <f>IF(D13="Р",-(IF(C44+D16+SUM(D23:D28)&lt;0,($B$6-$B$7)*1%+SUM($C$29:C29),0)),0)</f>
        <v>0</v>
      </c>
      <c r="E29" s="38">
        <f>IF(E13="Р",-(IF(D44+E16+SUM(E23:E28)&lt;0,($B$6-$B$7)*1%+SUM($C$29:D29),0)),0)</f>
        <v>0</v>
      </c>
      <c r="F29" s="38">
        <f>IF(F13="Р",-(IF(E44+F16+SUM(F23:F28)&lt;0,($B$6-$B$7)*1%+SUM($C$29:E29),0)),0)</f>
        <v>0</v>
      </c>
      <c r="G29" s="38">
        <f>IF(G13="Р",-(IF(F44+G16+SUM(G23:G28)&lt;0,($B$6-$B$7)*1%+SUM($C$29:F29),0)),0)</f>
        <v>0</v>
      </c>
      <c r="H29" s="38">
        <f>IF(H13="Р",-(IF(G44+H16+SUM(H23:H28)&lt;0,($B$6-$B$7)*1%+SUM($C$29:G29),0)),0)</f>
        <v>0</v>
      </c>
      <c r="I29" s="38">
        <f>IF(I13="Р",-(IF(H44+I16+SUM(I23:I28)&lt;0,($B$6-$B$7)*1%+SUM($C$29:H29),0)),0)</f>
        <v>0</v>
      </c>
      <c r="J29" s="38">
        <f>IF(J13="Р",-(IF(I44+J16+SUM(J23:J28)&lt;0,($B$6-$B$7)*1%+SUM($C$29:I29),0)),0)</f>
        <v>-5062.3724925000006</v>
      </c>
      <c r="K29" s="38">
        <f>IF(K13="Р",-(IF(J44+K16+SUM(K23:K28)&lt;0,($B$6-$B$7)*1%+SUM($C$29:J29),0)),0)</f>
        <v>0</v>
      </c>
      <c r="L29" s="38">
        <f>IF(L13="Р",-(IF(K44+L16+SUM(L23:L28)&lt;0,($B$6-$B$7)*1%+SUM($C$29:K29),0)),0)</f>
        <v>0</v>
      </c>
      <c r="M29" s="38">
        <f>IF(M13="Р",-(IF(L44+M16+SUM(M23:M28)&lt;0,($B$6-$B$7)*1%+SUM($C$29:L29),0)),0)</f>
        <v>0</v>
      </c>
      <c r="N29" s="38">
        <f>IF(N13="Р",-(IF(M44+N16+SUM(N23:N28)&lt;0,($B$6-$B$7)*1%+SUM($C$29:M29),0)),0)</f>
        <v>0</v>
      </c>
      <c r="O29" s="38">
        <f>IF(O13="Р",-(IF(N44+O16+SUM(O23:O28)&lt;0,($B$6-$B$7)*1%+SUM($C$29:N29),0)),0)</f>
        <v>0</v>
      </c>
      <c r="P29" s="38">
        <f>IF(P13="Р",-(IF(O44+P16+SUM(P23:P28)&lt;0,($B$6-$B$7)*1%+SUM($C$29:O29),0)),0)</f>
        <v>0</v>
      </c>
      <c r="Q29" s="38">
        <f>IF(Q13="Р",-(IF(P44+Q16+SUM(Q23:Q28)&lt;0,($B$6-$B$7)*1%+SUM($C$29:P29),0)),0)</f>
        <v>0</v>
      </c>
      <c r="R29" s="38">
        <f>IF(R13="Р",-(IF(Q44+R16+SUM(R23:R28)&lt;0,($B$6-$B$7)*1%+SUM($C$29:Q29),0)),0)</f>
        <v>0</v>
      </c>
      <c r="S29" s="38">
        <f>IF(S13="Р",-(IF(R44+S16+SUM(S23:S28)&lt;0,($B$6-$B$7)*1%+SUM($C$29:R29),0)),0)</f>
        <v>0</v>
      </c>
      <c r="T29" s="38">
        <f>IF(T13="Р",-(IF(S44+T16+SUM(T23:T28)&lt;0,($B$6-$B$7)*1%+SUM($C$29:S29),0)),0)</f>
        <v>0</v>
      </c>
      <c r="U29" s="38">
        <f>IF(U13="Р",-(IF(T44+U16+SUM(U23:U28)&lt;0,($B$6-$B$7)*1%+SUM($C$29:T29),0)),0)</f>
        <v>0</v>
      </c>
      <c r="V29" s="38">
        <f>IF(V13="Р",-(IF(U44+V16+SUM(V23:V28)&lt;0,($B$6-$B$7)*1%+SUM($C$29:U29),0)),0)</f>
        <v>0</v>
      </c>
      <c r="W29" s="38"/>
      <c r="X29" s="38"/>
      <c r="Y29" s="38"/>
      <c r="Z29" s="38"/>
    </row>
    <row r="30" spans="1:26" s="44" customFormat="1" x14ac:dyDescent="0.2">
      <c r="A30" s="43" t="s">
        <v>41</v>
      </c>
      <c r="B30" s="49"/>
      <c r="C30" s="49">
        <f t="shared" ref="C30:Z30" si="21">B44+C16+C22</f>
        <v>0</v>
      </c>
      <c r="D30" s="49">
        <f t="shared" si="21"/>
        <v>0</v>
      </c>
      <c r="E30" s="49">
        <f t="shared" si="21"/>
        <v>0</v>
      </c>
      <c r="F30" s="49">
        <f t="shared" si="21"/>
        <v>0</v>
      </c>
      <c r="G30" s="49">
        <f t="shared" si="21"/>
        <v>0</v>
      </c>
      <c r="H30" s="49">
        <f t="shared" si="21"/>
        <v>0</v>
      </c>
      <c r="I30" s="49">
        <f t="shared" si="21"/>
        <v>0</v>
      </c>
      <c r="J30" s="49">
        <f t="shared" si="21"/>
        <v>-17113.186541387666</v>
      </c>
      <c r="K30" s="49">
        <f t="shared" si="21"/>
        <v>-11593.701105882064</v>
      </c>
      <c r="L30" s="49">
        <f t="shared" si="21"/>
        <v>-10978.689818341663</v>
      </c>
      <c r="M30" s="49">
        <f t="shared" si="21"/>
        <v>-10327.944037771056</v>
      </c>
      <c r="N30" s="49">
        <f t="shared" si="21"/>
        <v>-9640.1123196005065</v>
      </c>
      <c r="O30" s="49">
        <f t="shared" si="21"/>
        <v>93203.400451384456</v>
      </c>
      <c r="P30" s="49">
        <f t="shared" si="21"/>
        <v>86444.176524849754</v>
      </c>
      <c r="Q30" s="49">
        <f t="shared" si="21"/>
        <v>103798.05192237093</v>
      </c>
      <c r="R30" s="49">
        <f t="shared" si="21"/>
        <v>105355.02270120647</v>
      </c>
      <c r="S30" s="49">
        <f t="shared" si="21"/>
        <v>0</v>
      </c>
      <c r="T30" s="49">
        <f t="shared" si="21"/>
        <v>0</v>
      </c>
      <c r="U30" s="49">
        <f t="shared" si="21"/>
        <v>0</v>
      </c>
      <c r="V30" s="49">
        <f t="shared" si="21"/>
        <v>0</v>
      </c>
      <c r="W30" s="49">
        <f t="shared" si="21"/>
        <v>0</v>
      </c>
      <c r="X30" s="49">
        <f t="shared" si="21"/>
        <v>0</v>
      </c>
      <c r="Y30" s="49">
        <f t="shared" si="21"/>
        <v>0</v>
      </c>
      <c r="Z30" s="49">
        <f t="shared" si="21"/>
        <v>0</v>
      </c>
    </row>
    <row r="31" spans="1:26" x14ac:dyDescent="0.2">
      <c r="A31" s="9" t="s">
        <v>61</v>
      </c>
      <c r="B31" s="4">
        <f>SUM(C31:Z31)</f>
        <v>-484644.58305409725</v>
      </c>
      <c r="C31" s="38">
        <f t="shared" ref="C31:Z31" si="22">IF(C12="С",-C17,0)</f>
        <v>0</v>
      </c>
      <c r="D31" s="38">
        <f t="shared" si="22"/>
        <v>0</v>
      </c>
      <c r="E31" s="38">
        <f t="shared" si="22"/>
        <v>0</v>
      </c>
      <c r="F31" s="38">
        <f t="shared" si="22"/>
        <v>0</v>
      </c>
      <c r="G31" s="38">
        <f t="shared" si="22"/>
        <v>0</v>
      </c>
      <c r="H31" s="38">
        <f t="shared" si="22"/>
        <v>0</v>
      </c>
      <c r="I31" s="38">
        <f t="shared" si="22"/>
        <v>0</v>
      </c>
      <c r="J31" s="38">
        <f t="shared" si="22"/>
        <v>-92664.147281705838</v>
      </c>
      <c r="K31" s="38">
        <f t="shared" si="22"/>
        <v>-94749.090595544229</v>
      </c>
      <c r="L31" s="38">
        <f t="shared" si="22"/>
        <v>-96880.945133943969</v>
      </c>
      <c r="M31" s="38">
        <f t="shared" si="22"/>
        <v>-99060.766399457716</v>
      </c>
      <c r="N31" s="38">
        <f t="shared" si="22"/>
        <v>-101289.63364344552</v>
      </c>
      <c r="O31" s="38">
        <f t="shared" si="22"/>
        <v>0</v>
      </c>
      <c r="P31" s="38">
        <f t="shared" si="22"/>
        <v>0</v>
      </c>
      <c r="Q31" s="38">
        <f t="shared" si="22"/>
        <v>0</v>
      </c>
      <c r="R31" s="38">
        <f t="shared" si="22"/>
        <v>0</v>
      </c>
      <c r="S31" s="38">
        <f t="shared" si="22"/>
        <v>0</v>
      </c>
      <c r="T31" s="38">
        <f t="shared" si="22"/>
        <v>0</v>
      </c>
      <c r="U31" s="38">
        <f t="shared" si="22"/>
        <v>0</v>
      </c>
      <c r="V31" s="38">
        <f t="shared" si="22"/>
        <v>0</v>
      </c>
      <c r="W31" s="38">
        <f t="shared" si="22"/>
        <v>0</v>
      </c>
      <c r="X31" s="38">
        <f t="shared" si="22"/>
        <v>0</v>
      </c>
      <c r="Y31" s="38">
        <f t="shared" si="22"/>
        <v>0</v>
      </c>
      <c r="Z31" s="38">
        <f t="shared" si="22"/>
        <v>0</v>
      </c>
    </row>
    <row r="32" spans="1:26" x14ac:dyDescent="0.2">
      <c r="A32" s="9" t="s">
        <v>26</v>
      </c>
      <c r="B32" s="4">
        <f>SUM(C32:Z32)</f>
        <v>484644.58305409725</v>
      </c>
      <c r="C32" s="38">
        <f>IF(C12="П",-B33,0)</f>
        <v>0</v>
      </c>
      <c r="D32" s="38">
        <f>IF(D12="П",-C33,0)</f>
        <v>0</v>
      </c>
      <c r="E32" s="38">
        <f t="shared" ref="E32:Z32" si="23">IF(E12="Э",-D33,0)</f>
        <v>0</v>
      </c>
      <c r="F32" s="38">
        <f t="shared" si="23"/>
        <v>0</v>
      </c>
      <c r="G32" s="38">
        <f t="shared" si="23"/>
        <v>0</v>
      </c>
      <c r="H32" s="38">
        <f t="shared" si="23"/>
        <v>0</v>
      </c>
      <c r="I32" s="38">
        <f t="shared" si="23"/>
        <v>0</v>
      </c>
      <c r="J32" s="38">
        <f t="shared" si="23"/>
        <v>0</v>
      </c>
      <c r="K32" s="38">
        <f t="shared" si="23"/>
        <v>0</v>
      </c>
      <c r="L32" s="38">
        <f t="shared" si="23"/>
        <v>0</v>
      </c>
      <c r="M32" s="38">
        <f t="shared" si="23"/>
        <v>0</v>
      </c>
      <c r="N32" s="38">
        <f t="shared" si="23"/>
        <v>0</v>
      </c>
      <c r="O32" s="38">
        <f t="shared" si="23"/>
        <v>484644.58305409725</v>
      </c>
      <c r="P32" s="38">
        <f t="shared" si="23"/>
        <v>0</v>
      </c>
      <c r="Q32" s="38">
        <f t="shared" si="23"/>
        <v>0</v>
      </c>
      <c r="R32" s="38">
        <f t="shared" si="23"/>
        <v>0</v>
      </c>
      <c r="S32" s="38">
        <f t="shared" si="23"/>
        <v>0</v>
      </c>
      <c r="T32" s="38">
        <f t="shared" si="23"/>
        <v>0</v>
      </c>
      <c r="U32" s="38">
        <f t="shared" si="23"/>
        <v>0</v>
      </c>
      <c r="V32" s="38">
        <f t="shared" si="23"/>
        <v>0</v>
      </c>
      <c r="W32" s="38">
        <f t="shared" si="23"/>
        <v>0</v>
      </c>
      <c r="X32" s="38">
        <f t="shared" si="23"/>
        <v>0</v>
      </c>
      <c r="Y32" s="38">
        <f t="shared" si="23"/>
        <v>0</v>
      </c>
      <c r="Z32" s="38">
        <f t="shared" si="23"/>
        <v>0</v>
      </c>
    </row>
    <row r="33" spans="1:26" x14ac:dyDescent="0.2">
      <c r="A33" s="29" t="s">
        <v>62</v>
      </c>
      <c r="B33" s="65"/>
      <c r="C33" s="42">
        <f t="shared" ref="C33:Z33" si="24">B33+C31+C32</f>
        <v>0</v>
      </c>
      <c r="D33" s="42">
        <f t="shared" si="24"/>
        <v>0</v>
      </c>
      <c r="E33" s="42">
        <f t="shared" si="24"/>
        <v>0</v>
      </c>
      <c r="F33" s="42">
        <f t="shared" si="24"/>
        <v>0</v>
      </c>
      <c r="G33" s="42">
        <f t="shared" si="24"/>
        <v>0</v>
      </c>
      <c r="H33" s="42">
        <f t="shared" si="24"/>
        <v>0</v>
      </c>
      <c r="I33" s="42">
        <f t="shared" si="24"/>
        <v>0</v>
      </c>
      <c r="J33" s="42">
        <f t="shared" si="24"/>
        <v>-92664.147281705838</v>
      </c>
      <c r="K33" s="42">
        <f t="shared" si="24"/>
        <v>-187413.23787725007</v>
      </c>
      <c r="L33" s="42">
        <f t="shared" si="24"/>
        <v>-284294.18301119405</v>
      </c>
      <c r="M33" s="42">
        <f t="shared" si="24"/>
        <v>-383354.94941065175</v>
      </c>
      <c r="N33" s="42">
        <f t="shared" si="24"/>
        <v>-484644.58305409725</v>
      </c>
      <c r="O33" s="42">
        <f t="shared" si="24"/>
        <v>0</v>
      </c>
      <c r="P33" s="42">
        <f t="shared" si="24"/>
        <v>0</v>
      </c>
      <c r="Q33" s="42">
        <f t="shared" si="24"/>
        <v>0</v>
      </c>
      <c r="R33" s="42">
        <f t="shared" si="24"/>
        <v>0</v>
      </c>
      <c r="S33" s="42">
        <f t="shared" si="24"/>
        <v>0</v>
      </c>
      <c r="T33" s="42">
        <f t="shared" si="24"/>
        <v>0</v>
      </c>
      <c r="U33" s="42">
        <f t="shared" si="24"/>
        <v>0</v>
      </c>
      <c r="V33" s="42">
        <f t="shared" si="24"/>
        <v>0</v>
      </c>
      <c r="W33" s="42">
        <f t="shared" si="24"/>
        <v>0</v>
      </c>
      <c r="X33" s="42">
        <f t="shared" si="24"/>
        <v>0</v>
      </c>
      <c r="Y33" s="42">
        <f t="shared" si="24"/>
        <v>0</v>
      </c>
      <c r="Z33" s="42">
        <f t="shared" si="24"/>
        <v>0</v>
      </c>
    </row>
    <row r="34" spans="1:26" s="44" customFormat="1" x14ac:dyDescent="0.2">
      <c r="A34" s="43" t="s">
        <v>27</v>
      </c>
      <c r="B34" s="49"/>
      <c r="C34" s="49">
        <f t="shared" ref="C34:Z34" si="25">C30+C31+C32</f>
        <v>0</v>
      </c>
      <c r="D34" s="49">
        <f t="shared" si="25"/>
        <v>0</v>
      </c>
      <c r="E34" s="49">
        <f t="shared" si="25"/>
        <v>0</v>
      </c>
      <c r="F34" s="49">
        <f t="shared" si="25"/>
        <v>0</v>
      </c>
      <c r="G34" s="49">
        <f t="shared" si="25"/>
        <v>0</v>
      </c>
      <c r="H34" s="49">
        <f t="shared" si="25"/>
        <v>0</v>
      </c>
      <c r="I34" s="49">
        <f t="shared" si="25"/>
        <v>0</v>
      </c>
      <c r="J34" s="49">
        <f t="shared" si="25"/>
        <v>-109777.3338230935</v>
      </c>
      <c r="K34" s="49">
        <f t="shared" si="25"/>
        <v>-106342.79170142629</v>
      </c>
      <c r="L34" s="49">
        <f t="shared" si="25"/>
        <v>-107859.63495228563</v>
      </c>
      <c r="M34" s="49">
        <f t="shared" si="25"/>
        <v>-109388.71043722877</v>
      </c>
      <c r="N34" s="49">
        <f t="shared" si="25"/>
        <v>-110929.74596304602</v>
      </c>
      <c r="O34" s="49">
        <f t="shared" si="25"/>
        <v>577847.98350548174</v>
      </c>
      <c r="P34" s="49">
        <f t="shared" si="25"/>
        <v>86444.176524849754</v>
      </c>
      <c r="Q34" s="49">
        <f t="shared" si="25"/>
        <v>103798.05192237093</v>
      </c>
      <c r="R34" s="49">
        <f t="shared" si="25"/>
        <v>105355.02270120647</v>
      </c>
      <c r="S34" s="49">
        <f t="shared" si="25"/>
        <v>0</v>
      </c>
      <c r="T34" s="49">
        <f t="shared" si="25"/>
        <v>0</v>
      </c>
      <c r="U34" s="49">
        <f t="shared" si="25"/>
        <v>0</v>
      </c>
      <c r="V34" s="49">
        <f t="shared" si="25"/>
        <v>0</v>
      </c>
      <c r="W34" s="49">
        <f t="shared" si="25"/>
        <v>0</v>
      </c>
      <c r="X34" s="49">
        <f t="shared" si="25"/>
        <v>0</v>
      </c>
      <c r="Y34" s="49">
        <f t="shared" si="25"/>
        <v>0</v>
      </c>
      <c r="Z34" s="49">
        <f t="shared" si="25"/>
        <v>0</v>
      </c>
    </row>
    <row r="35" spans="1:26" x14ac:dyDescent="0.2">
      <c r="A35" s="9" t="s">
        <v>42</v>
      </c>
      <c r="B35" s="4">
        <f>SUM(C35:Z35)</f>
        <v>544298.21687708027</v>
      </c>
      <c r="C35" s="38">
        <f t="shared" ref="C35:D35" si="26">IF(C34&lt;0,-C34,0)</f>
        <v>0</v>
      </c>
      <c r="D35" s="38">
        <f t="shared" si="26"/>
        <v>0</v>
      </c>
      <c r="E35" s="38">
        <f t="shared" ref="E35:Z35" si="27">IF(E12="С",IF(E34&lt;0,-E34,0),0)</f>
        <v>0</v>
      </c>
      <c r="F35" s="38">
        <f t="shared" si="27"/>
        <v>0</v>
      </c>
      <c r="G35" s="38">
        <f t="shared" si="27"/>
        <v>0</v>
      </c>
      <c r="H35" s="38">
        <f t="shared" si="27"/>
        <v>0</v>
      </c>
      <c r="I35" s="38">
        <f t="shared" si="27"/>
        <v>0</v>
      </c>
      <c r="J35" s="38">
        <f t="shared" si="27"/>
        <v>109777.3338230935</v>
      </c>
      <c r="K35" s="38">
        <f t="shared" si="27"/>
        <v>106342.79170142629</v>
      </c>
      <c r="L35" s="38">
        <f t="shared" si="27"/>
        <v>107859.63495228563</v>
      </c>
      <c r="M35" s="38">
        <f t="shared" si="27"/>
        <v>109388.71043722877</v>
      </c>
      <c r="N35" s="38">
        <f t="shared" si="27"/>
        <v>110929.74596304602</v>
      </c>
      <c r="O35" s="38">
        <f t="shared" si="27"/>
        <v>0</v>
      </c>
      <c r="P35" s="38">
        <f t="shared" si="27"/>
        <v>0</v>
      </c>
      <c r="Q35" s="38">
        <f t="shared" si="27"/>
        <v>0</v>
      </c>
      <c r="R35" s="38">
        <f t="shared" si="27"/>
        <v>0</v>
      </c>
      <c r="S35" s="38">
        <f t="shared" si="27"/>
        <v>0</v>
      </c>
      <c r="T35" s="38">
        <f t="shared" si="27"/>
        <v>0</v>
      </c>
      <c r="U35" s="38">
        <f t="shared" si="27"/>
        <v>0</v>
      </c>
      <c r="V35" s="38">
        <f t="shared" si="27"/>
        <v>0</v>
      </c>
      <c r="W35" s="38">
        <f t="shared" si="27"/>
        <v>0</v>
      </c>
      <c r="X35" s="38">
        <f t="shared" si="27"/>
        <v>0</v>
      </c>
      <c r="Y35" s="38">
        <f t="shared" si="27"/>
        <v>0</v>
      </c>
      <c r="Z35" s="38">
        <f t="shared" si="27"/>
        <v>0</v>
      </c>
    </row>
    <row r="36" spans="1:26" x14ac:dyDescent="0.2">
      <c r="A36" s="9" t="s">
        <v>43</v>
      </c>
      <c r="B36" s="4">
        <f>SUM(C36:Z36)</f>
        <v>-544298.21687708027</v>
      </c>
      <c r="C36" s="38">
        <f t="shared" ref="C36:Z36" si="28">IF(C34&gt;0,-MIN(B37,C34),0)</f>
        <v>0</v>
      </c>
      <c r="D36" s="38">
        <f t="shared" si="28"/>
        <v>0</v>
      </c>
      <c r="E36" s="38">
        <f t="shared" si="28"/>
        <v>0</v>
      </c>
      <c r="F36" s="38">
        <f t="shared" si="28"/>
        <v>0</v>
      </c>
      <c r="G36" s="38">
        <f t="shared" si="28"/>
        <v>0</v>
      </c>
      <c r="H36" s="38">
        <f t="shared" si="28"/>
        <v>0</v>
      </c>
      <c r="I36" s="38">
        <f t="shared" si="28"/>
        <v>0</v>
      </c>
      <c r="J36" s="38">
        <f t="shared" si="28"/>
        <v>0</v>
      </c>
      <c r="K36" s="38">
        <f t="shared" si="28"/>
        <v>0</v>
      </c>
      <c r="L36" s="38">
        <f t="shared" si="28"/>
        <v>0</v>
      </c>
      <c r="M36" s="38">
        <f t="shared" si="28"/>
        <v>0</v>
      </c>
      <c r="N36" s="38">
        <f t="shared" si="28"/>
        <v>0</v>
      </c>
      <c r="O36" s="38">
        <f t="shared" si="28"/>
        <v>-544298.21687708027</v>
      </c>
      <c r="P36" s="38">
        <f t="shared" si="28"/>
        <v>0</v>
      </c>
      <c r="Q36" s="38">
        <f t="shared" si="28"/>
        <v>0</v>
      </c>
      <c r="R36" s="38">
        <f t="shared" si="28"/>
        <v>0</v>
      </c>
      <c r="S36" s="38">
        <f t="shared" si="28"/>
        <v>0</v>
      </c>
      <c r="T36" s="38">
        <f t="shared" si="28"/>
        <v>0</v>
      </c>
      <c r="U36" s="38">
        <f t="shared" si="28"/>
        <v>0</v>
      </c>
      <c r="V36" s="38">
        <f t="shared" si="28"/>
        <v>0</v>
      </c>
      <c r="W36" s="38">
        <f t="shared" si="28"/>
        <v>0</v>
      </c>
      <c r="X36" s="38">
        <f t="shared" si="28"/>
        <v>0</v>
      </c>
      <c r="Y36" s="38">
        <f t="shared" si="28"/>
        <v>0</v>
      </c>
      <c r="Z36" s="38">
        <f t="shared" si="28"/>
        <v>0</v>
      </c>
    </row>
    <row r="37" spans="1:26" x14ac:dyDescent="0.2">
      <c r="A37" s="29" t="s">
        <v>4</v>
      </c>
      <c r="B37" s="65"/>
      <c r="C37" s="42">
        <f t="shared" ref="C37:Z37" si="29">B37+C35+C36</f>
        <v>0</v>
      </c>
      <c r="D37" s="42">
        <f t="shared" si="29"/>
        <v>0</v>
      </c>
      <c r="E37" s="42">
        <f t="shared" si="29"/>
        <v>0</v>
      </c>
      <c r="F37" s="42">
        <f t="shared" si="29"/>
        <v>0</v>
      </c>
      <c r="G37" s="42">
        <f t="shared" si="29"/>
        <v>0</v>
      </c>
      <c r="H37" s="42">
        <f t="shared" si="29"/>
        <v>0</v>
      </c>
      <c r="I37" s="42">
        <f t="shared" si="29"/>
        <v>0</v>
      </c>
      <c r="J37" s="42">
        <f t="shared" si="29"/>
        <v>109777.3338230935</v>
      </c>
      <c r="K37" s="42">
        <f t="shared" si="29"/>
        <v>216120.1255245198</v>
      </c>
      <c r="L37" s="42">
        <f t="shared" si="29"/>
        <v>323979.76047680544</v>
      </c>
      <c r="M37" s="42">
        <f t="shared" si="29"/>
        <v>433368.47091403423</v>
      </c>
      <c r="N37" s="42">
        <f t="shared" si="29"/>
        <v>544298.21687708027</v>
      </c>
      <c r="O37" s="42">
        <f t="shared" si="29"/>
        <v>0</v>
      </c>
      <c r="P37" s="42">
        <f t="shared" si="29"/>
        <v>0</v>
      </c>
      <c r="Q37" s="42">
        <f t="shared" si="29"/>
        <v>0</v>
      </c>
      <c r="R37" s="42">
        <f t="shared" si="29"/>
        <v>0</v>
      </c>
      <c r="S37" s="42">
        <f t="shared" si="29"/>
        <v>0</v>
      </c>
      <c r="T37" s="42">
        <f t="shared" si="29"/>
        <v>0</v>
      </c>
      <c r="U37" s="42">
        <f t="shared" si="29"/>
        <v>0</v>
      </c>
      <c r="V37" s="42">
        <f t="shared" si="29"/>
        <v>0</v>
      </c>
      <c r="W37" s="42">
        <f t="shared" si="29"/>
        <v>0</v>
      </c>
      <c r="X37" s="42">
        <f t="shared" si="29"/>
        <v>0</v>
      </c>
      <c r="Y37" s="42">
        <f t="shared" si="29"/>
        <v>0</v>
      </c>
      <c r="Z37" s="42">
        <f t="shared" si="29"/>
        <v>0</v>
      </c>
    </row>
    <row r="38" spans="1:26" x14ac:dyDescent="0.2">
      <c r="A38" s="66" t="s">
        <v>28</v>
      </c>
      <c r="B38" s="65"/>
      <c r="C38" s="42">
        <f t="shared" ref="C38:Z38" si="30">C37+C33</f>
        <v>0</v>
      </c>
      <c r="D38" s="42">
        <f t="shared" si="30"/>
        <v>0</v>
      </c>
      <c r="E38" s="42">
        <f t="shared" si="30"/>
        <v>0</v>
      </c>
      <c r="F38" s="42">
        <f t="shared" si="30"/>
        <v>0</v>
      </c>
      <c r="G38" s="42">
        <f t="shared" si="30"/>
        <v>0</v>
      </c>
      <c r="H38" s="42">
        <f t="shared" si="30"/>
        <v>0</v>
      </c>
      <c r="I38" s="42">
        <f t="shared" si="30"/>
        <v>0</v>
      </c>
      <c r="J38" s="42">
        <f t="shared" si="30"/>
        <v>17113.186541387666</v>
      </c>
      <c r="K38" s="42">
        <f t="shared" si="30"/>
        <v>28706.88764726973</v>
      </c>
      <c r="L38" s="42">
        <f t="shared" si="30"/>
        <v>39685.577465611394</v>
      </c>
      <c r="M38" s="42">
        <f t="shared" si="30"/>
        <v>50013.521503382479</v>
      </c>
      <c r="N38" s="42">
        <f t="shared" si="30"/>
        <v>59653.633822983014</v>
      </c>
      <c r="O38" s="42">
        <f t="shared" si="30"/>
        <v>0</v>
      </c>
      <c r="P38" s="42">
        <f t="shared" si="30"/>
        <v>0</v>
      </c>
      <c r="Q38" s="42">
        <f t="shared" si="30"/>
        <v>0</v>
      </c>
      <c r="R38" s="42">
        <f t="shared" si="30"/>
        <v>0</v>
      </c>
      <c r="S38" s="42">
        <f t="shared" si="30"/>
        <v>0</v>
      </c>
      <c r="T38" s="42">
        <f t="shared" si="30"/>
        <v>0</v>
      </c>
      <c r="U38" s="42">
        <f t="shared" si="30"/>
        <v>0</v>
      </c>
      <c r="V38" s="42">
        <f t="shared" si="30"/>
        <v>0</v>
      </c>
      <c r="W38" s="42">
        <f t="shared" si="30"/>
        <v>0</v>
      </c>
      <c r="X38" s="42">
        <f t="shared" si="30"/>
        <v>0</v>
      </c>
      <c r="Y38" s="42">
        <f t="shared" si="30"/>
        <v>0</v>
      </c>
      <c r="Z38" s="42">
        <f t="shared" si="30"/>
        <v>0</v>
      </c>
    </row>
    <row r="39" spans="1:26" x14ac:dyDescent="0.2">
      <c r="A39" s="29" t="s">
        <v>124</v>
      </c>
      <c r="B39" s="65"/>
      <c r="C39" s="128">
        <f>IF(B37&gt;0,IF(B37&gt;-B33,(-B33*ИДиР!$B$21+(B37+B33)*ИДиР!$B$20)/B37,MAX((B37*ИДиР!$B$21-(-B33-B37)*ИДиР!$B$22)/B37,0.01%)),0)</f>
        <v>0</v>
      </c>
      <c r="D39" s="128">
        <f>IF(C37&gt;0,IF(C37&gt;-C33,(-C33*ИДиР!$B$21+(C37+C33)*ИДиР!$B$20)/C37,MAX((C37*ИДиР!$B$21-(-C33-C37)*ИДиР!$B$22)/C37,0.01%)),0)</f>
        <v>0</v>
      </c>
      <c r="E39" s="128">
        <f>IF(D37&gt;0,IF(D37&gt;-D33,(-D33*ИДиР!$B$21+(D37+D33)*ИДиР!$B$20)/D37,MAX((D37*ИДиР!$B$21-(-D33-D37)*ИДиР!$B$22)/D37,0.01%)),0)</f>
        <v>0</v>
      </c>
      <c r="F39" s="128">
        <f>IF(E37&gt;0,IF(E37&gt;-E33,(-E33*ИДиР!$B$21+(E37+E33)*ИДиР!$B$20)/E37,MAX((E37*ИДиР!$B$21-(-E33-E37)*ИДиР!$B$22)/E37,0.01%)),0)</f>
        <v>0</v>
      </c>
      <c r="G39" s="128">
        <f>IF(F37&gt;0,IF(F37&gt;-F33,(-F33*ИДиР!$B$21+(F37+F33)*ИДиР!$B$20)/F37,MAX((F37*ИДиР!$B$21-(-F33-F37)*ИДиР!$B$22)/F37,0.01%)),0)</f>
        <v>0</v>
      </c>
      <c r="H39" s="128">
        <f>IF(G37&gt;0,IF(G37&gt;-G33,(-G33*ИДиР!$B$21+(G37+G33)*ИДиР!$B$20)/G37,MAX((G37*ИДиР!$B$21-(-G33-G37)*ИДиР!$B$22)/G37,0.01%)),0)</f>
        <v>0</v>
      </c>
      <c r="I39" s="128">
        <f>IF(H37&gt;0,IF(H37&gt;-H33,(-H33*ИДиР!$B$21+(H37+H33)*ИДиР!$B$20)/H37,MAX((H37*ИДиР!$B$21-(-H33-H37)*ИДиР!$B$22)/H37,0.01%)),0)</f>
        <v>0</v>
      </c>
      <c r="J39" s="128">
        <f>IF(I37&gt;0,IF(I37&gt;-I33,(-I33*ИДиР!$B$21+(I37+I33)*ИДиР!$B$20)/I37,MAX((I37*ИДиР!$B$21-(-I33-I37)*ИДиР!$B$22)/I37,0.01%)),0)</f>
        <v>0</v>
      </c>
      <c r="K39" s="128">
        <f>IF(J37&gt;0,IF(J37&gt;-J33,(-J33*ИДиР!$B$21+(J37+J33)*ИДиР!$B$20)/J37,MAX((J37*ИДиР!$B$21-(-J33-J37)*ИДиР!$B$22)/J37,0.01%)),0)</f>
        <v>5.779449907617798E-2</v>
      </c>
      <c r="L39" s="128">
        <f>IF(K37&gt;0,IF(K37&gt;-K33,(-K33*ИДиР!$B$21+(K37+K33)*ИДиР!$B$20)/K37,MAX((K37*ИДиР!$B$21-(-K33-K37)*ИДиР!$B$22)/K37,0.01%)),0)</f>
        <v>5.6641419344357354E-2</v>
      </c>
      <c r="M39" s="128">
        <f>IF(L37&gt;0,IF(L37&gt;-L33,(-L33*ИДиР!$B$21+(L37+L33)*ИДиР!$B$20)/L37,MAX((L37*ИДиР!$B$21-(-L33-L37)*ИДиР!$B$22)/L37,0.01%)),0)</f>
        <v>5.6124700105834639E-2</v>
      </c>
      <c r="N39" s="128">
        <f>IF(M37&gt;0,IF(M37&gt;-M33,(-M33*ИДиР!$B$21+(M37+M33)*ИДиР!$B$20)/M37,MAX((M37*ИДиР!$B$21-(-M33-M37)*ИДиР!$B$22)/M37,0.01%)),0)</f>
        <v>5.5770323046101737E-2</v>
      </c>
      <c r="O39" s="128">
        <f>IF(N37&gt;0,IF(N37&gt;-N33,(-N33*ИДиР!$B$21+(N37+N33)*ИДиР!$B$20)/N37,MAX((N37*ИДиР!$B$21-(-N33-N37)*ИДиР!$B$22)/N37,0.01%)),0)</f>
        <v>5.5479866732362895E-2</v>
      </c>
      <c r="P39" s="128">
        <f>IF(O37&gt;0,IF(O37&gt;-O33,(-O33*ИДиР!$B$21+(O37+O33)*ИДиР!$B$20)/O37,MAX((O37*ИДиР!$B$21-(-O33-O37)*ИДиР!$B$22)/O37,0.01%)),0)</f>
        <v>0</v>
      </c>
      <c r="Q39" s="128">
        <f>IF(P37&gt;0,IF(P37&gt;-P33,(-P33*ИДиР!$B$21+(P37+P33)*ИДиР!$B$20)/P37,MAX((P37*ИДиР!$B$21-(-P33-P37)*ИДиР!$B$22)/P37,0.01%)),0)</f>
        <v>0</v>
      </c>
      <c r="R39" s="128">
        <f>IF(Q37&gt;0,IF(Q37&gt;-Q33,(-Q33*ИДиР!$B$21+(Q37+Q33)*ИДиР!$B$20)/Q37,MAX((Q37*ИДиР!$B$21-(-Q33-Q37)*ИДиР!$B$22)/Q37,0.01%)),0)</f>
        <v>0</v>
      </c>
      <c r="S39" s="128">
        <f>IF(R37&gt;0,IF(R37&gt;-R33,(-R33*ИДиР!$B$21+(R37+R33)*ИДиР!$B$20)/R37,MAX((R37*ИДиР!$B$21-(-R33-R37)*ИДиР!$B$22)/R37,0.01%)),0)</f>
        <v>0</v>
      </c>
      <c r="T39" s="128">
        <f>IF(S37&gt;0,IF(S37&gt;-S33,(-S33*ИДиР!$B$21+(S37+S33)*ИДиР!$B$20)/S37,MAX((S37*ИДиР!$B$21-(-S33-S37)*ИДиР!$B$22)/S37,0.01%)),0)</f>
        <v>0</v>
      </c>
      <c r="U39" s="128">
        <f>IF(T37&gt;0,IF(T37&gt;-T33,(-T33*ИДиР!$B$21+(T37+T33)*ИДиР!$B$20)/T37,MAX((T37*ИДиР!$B$21-(-T33-T37)*ИДиР!$B$22)/T37,0.01%)),0)</f>
        <v>0</v>
      </c>
      <c r="V39" s="128">
        <f>IF(U37&gt;0,IF(U37&gt;-U33,(-U33*ИДиР!$B$21+(U37+U33)*ИДиР!$B$20)/U37,MAX((U37*ИДиР!$B$21-(-U33-U37)*ИДиР!$B$22)/U37,0.01%)),0)</f>
        <v>0</v>
      </c>
      <c r="W39" s="42"/>
      <c r="X39" s="42"/>
      <c r="Y39" s="42"/>
      <c r="Z39" s="42"/>
    </row>
    <row r="40" spans="1:26" s="44" customFormat="1" x14ac:dyDescent="0.2">
      <c r="A40" s="43" t="s">
        <v>0</v>
      </c>
      <c r="B40" s="49"/>
      <c r="C40" s="49">
        <f t="shared" ref="C40:Z40" si="31">C34+C35+C36</f>
        <v>0</v>
      </c>
      <c r="D40" s="49">
        <f t="shared" si="31"/>
        <v>0</v>
      </c>
      <c r="E40" s="49">
        <f t="shared" si="31"/>
        <v>0</v>
      </c>
      <c r="F40" s="49">
        <f t="shared" si="31"/>
        <v>0</v>
      </c>
      <c r="G40" s="49">
        <f t="shared" si="31"/>
        <v>0</v>
      </c>
      <c r="H40" s="49">
        <f t="shared" si="31"/>
        <v>0</v>
      </c>
      <c r="I40" s="49">
        <f t="shared" si="31"/>
        <v>0</v>
      </c>
      <c r="J40" s="49">
        <f t="shared" si="31"/>
        <v>0</v>
      </c>
      <c r="K40" s="49">
        <f t="shared" si="31"/>
        <v>0</v>
      </c>
      <c r="L40" s="49">
        <f t="shared" si="31"/>
        <v>0</v>
      </c>
      <c r="M40" s="49">
        <f t="shared" si="31"/>
        <v>0</v>
      </c>
      <c r="N40" s="49">
        <f t="shared" si="31"/>
        <v>0</v>
      </c>
      <c r="O40" s="49">
        <f t="shared" si="31"/>
        <v>33549.76662840147</v>
      </c>
      <c r="P40" s="49">
        <f t="shared" si="31"/>
        <v>86444.176524849754</v>
      </c>
      <c r="Q40" s="49">
        <f t="shared" si="31"/>
        <v>103798.05192237093</v>
      </c>
      <c r="R40" s="49">
        <f t="shared" si="31"/>
        <v>105355.02270120647</v>
      </c>
      <c r="S40" s="49">
        <f t="shared" si="31"/>
        <v>0</v>
      </c>
      <c r="T40" s="49">
        <f t="shared" si="31"/>
        <v>0</v>
      </c>
      <c r="U40" s="49">
        <f t="shared" si="31"/>
        <v>0</v>
      </c>
      <c r="V40" s="49">
        <f t="shared" si="31"/>
        <v>0</v>
      </c>
      <c r="W40" s="49">
        <f t="shared" si="31"/>
        <v>0</v>
      </c>
      <c r="X40" s="49">
        <f t="shared" si="31"/>
        <v>0</v>
      </c>
      <c r="Y40" s="49">
        <f t="shared" si="31"/>
        <v>0</v>
      </c>
      <c r="Z40" s="49">
        <f t="shared" si="31"/>
        <v>0</v>
      </c>
    </row>
    <row r="41" spans="1:26" x14ac:dyDescent="0.2">
      <c r="A41" s="9" t="s">
        <v>5</v>
      </c>
      <c r="B41" s="4">
        <f>SUM(C41:Z41)</f>
        <v>-63133.32571528892</v>
      </c>
      <c r="C41" s="38">
        <f t="shared" ref="C41:Z41" si="32">C53</f>
        <v>0</v>
      </c>
      <c r="D41" s="38">
        <f t="shared" si="32"/>
        <v>0</v>
      </c>
      <c r="E41" s="38">
        <f t="shared" si="32"/>
        <v>0</v>
      </c>
      <c r="F41" s="38">
        <f t="shared" si="32"/>
        <v>0</v>
      </c>
      <c r="G41" s="38">
        <f t="shared" si="32"/>
        <v>0</v>
      </c>
      <c r="H41" s="38">
        <f t="shared" si="32"/>
        <v>0</v>
      </c>
      <c r="I41" s="38">
        <f t="shared" si="32"/>
        <v>0</v>
      </c>
      <c r="J41" s="38">
        <f t="shared" si="32"/>
        <v>0</v>
      </c>
      <c r="K41" s="38">
        <f t="shared" si="32"/>
        <v>0</v>
      </c>
      <c r="L41" s="38">
        <f t="shared" si="32"/>
        <v>0</v>
      </c>
      <c r="M41" s="38">
        <f t="shared" si="32"/>
        <v>0</v>
      </c>
      <c r="N41" s="38">
        <f t="shared" si="32"/>
        <v>0</v>
      </c>
      <c r="O41" s="38">
        <f>O53</f>
        <v>-1349.4689106034873</v>
      </c>
      <c r="P41" s="38">
        <f t="shared" si="32"/>
        <v>-19953.241879969952</v>
      </c>
      <c r="Q41" s="38">
        <f t="shared" si="32"/>
        <v>-20759.610384474188</v>
      </c>
      <c r="R41" s="38">
        <f t="shared" si="32"/>
        <v>-21071.004540241294</v>
      </c>
      <c r="S41" s="38">
        <f t="shared" si="32"/>
        <v>0</v>
      </c>
      <c r="T41" s="38">
        <f t="shared" si="32"/>
        <v>0</v>
      </c>
      <c r="U41" s="38">
        <f t="shared" si="32"/>
        <v>0</v>
      </c>
      <c r="V41" s="38">
        <f t="shared" si="32"/>
        <v>0</v>
      </c>
      <c r="W41" s="38">
        <f t="shared" si="32"/>
        <v>0</v>
      </c>
      <c r="X41" s="38">
        <f t="shared" si="32"/>
        <v>0</v>
      </c>
      <c r="Y41" s="38">
        <f t="shared" si="32"/>
        <v>0</v>
      </c>
      <c r="Z41" s="38">
        <f t="shared" si="32"/>
        <v>0</v>
      </c>
    </row>
    <row r="42" spans="1:26" s="44" customFormat="1" x14ac:dyDescent="0.2">
      <c r="A42" s="43" t="s">
        <v>29</v>
      </c>
      <c r="B42" s="49"/>
      <c r="C42" s="49">
        <f t="shared" ref="C42:Z42" si="33">C40+C41</f>
        <v>0</v>
      </c>
      <c r="D42" s="49">
        <f t="shared" si="33"/>
        <v>0</v>
      </c>
      <c r="E42" s="49">
        <f t="shared" si="33"/>
        <v>0</v>
      </c>
      <c r="F42" s="49">
        <f t="shared" si="33"/>
        <v>0</v>
      </c>
      <c r="G42" s="49">
        <f t="shared" si="33"/>
        <v>0</v>
      </c>
      <c r="H42" s="49">
        <f t="shared" si="33"/>
        <v>0</v>
      </c>
      <c r="I42" s="49">
        <f t="shared" si="33"/>
        <v>0</v>
      </c>
      <c r="J42" s="49">
        <f t="shared" si="33"/>
        <v>0</v>
      </c>
      <c r="K42" s="49">
        <f t="shared" si="33"/>
        <v>0</v>
      </c>
      <c r="L42" s="49">
        <f t="shared" si="33"/>
        <v>0</v>
      </c>
      <c r="M42" s="49">
        <f t="shared" si="33"/>
        <v>0</v>
      </c>
      <c r="N42" s="49">
        <f t="shared" si="33"/>
        <v>0</v>
      </c>
      <c r="O42" s="49">
        <f t="shared" si="33"/>
        <v>32200.297717797985</v>
      </c>
      <c r="P42" s="49">
        <f t="shared" si="33"/>
        <v>66490.934644879802</v>
      </c>
      <c r="Q42" s="49">
        <f t="shared" si="33"/>
        <v>83038.441537896739</v>
      </c>
      <c r="R42" s="49">
        <f t="shared" si="33"/>
        <v>84284.018160965177</v>
      </c>
      <c r="S42" s="49">
        <f t="shared" si="33"/>
        <v>0</v>
      </c>
      <c r="T42" s="49">
        <f t="shared" si="33"/>
        <v>0</v>
      </c>
      <c r="U42" s="49">
        <f t="shared" si="33"/>
        <v>0</v>
      </c>
      <c r="V42" s="49">
        <f t="shared" si="33"/>
        <v>0</v>
      </c>
      <c r="W42" s="49">
        <f t="shared" si="33"/>
        <v>0</v>
      </c>
      <c r="X42" s="49">
        <f t="shared" si="33"/>
        <v>0</v>
      </c>
      <c r="Y42" s="49">
        <f t="shared" si="33"/>
        <v>0</v>
      </c>
      <c r="Z42" s="49">
        <f t="shared" si="33"/>
        <v>0</v>
      </c>
    </row>
    <row r="43" spans="1:26" x14ac:dyDescent="0.2">
      <c r="A43" s="9" t="s">
        <v>30</v>
      </c>
      <c r="B43" s="4">
        <f>SUM(C43:Z43)</f>
        <v>-266013.69206153968</v>
      </c>
      <c r="C43" s="38">
        <f t="shared" ref="C43:O43" si="34">IF(C42&gt;0,-C42,0)</f>
        <v>0</v>
      </c>
      <c r="D43" s="38">
        <f t="shared" si="34"/>
        <v>0</v>
      </c>
      <c r="E43" s="38">
        <f t="shared" si="34"/>
        <v>0</v>
      </c>
      <c r="F43" s="38">
        <f t="shared" si="34"/>
        <v>0</v>
      </c>
      <c r="G43" s="38">
        <f t="shared" si="34"/>
        <v>0</v>
      </c>
      <c r="H43" s="38">
        <f t="shared" si="34"/>
        <v>0</v>
      </c>
      <c r="I43" s="38">
        <f t="shared" si="34"/>
        <v>0</v>
      </c>
      <c r="J43" s="38">
        <f t="shared" si="34"/>
        <v>0</v>
      </c>
      <c r="K43" s="38">
        <f t="shared" si="34"/>
        <v>0</v>
      </c>
      <c r="L43" s="38">
        <f t="shared" si="34"/>
        <v>0</v>
      </c>
      <c r="M43" s="38">
        <f t="shared" si="34"/>
        <v>0</v>
      </c>
      <c r="N43" s="38">
        <f t="shared" si="34"/>
        <v>0</v>
      </c>
      <c r="O43" s="38">
        <f t="shared" si="34"/>
        <v>-32200.297717797985</v>
      </c>
      <c r="P43" s="38">
        <f>IF(P42&gt;0,-P42,0)</f>
        <v>-66490.934644879802</v>
      </c>
      <c r="Q43" s="38">
        <f t="shared" ref="Q43:R43" si="35">IF(Q42&gt;0,-Q42,0)</f>
        <v>-83038.441537896739</v>
      </c>
      <c r="R43" s="38">
        <f t="shared" si="35"/>
        <v>-84284.018160965177</v>
      </c>
      <c r="S43" s="38">
        <f>IF(S42&gt;0,-S42,0)</f>
        <v>0</v>
      </c>
      <c r="T43" s="38">
        <f t="shared" ref="T43:Z43" si="36">IF(T42&gt;0,-T42,0)</f>
        <v>0</v>
      </c>
      <c r="U43" s="38">
        <f t="shared" si="36"/>
        <v>0</v>
      </c>
      <c r="V43" s="38">
        <f t="shared" si="36"/>
        <v>0</v>
      </c>
      <c r="W43" s="38">
        <f t="shared" si="36"/>
        <v>0</v>
      </c>
      <c r="X43" s="38">
        <f t="shared" si="36"/>
        <v>0</v>
      </c>
      <c r="Y43" s="38">
        <f t="shared" si="36"/>
        <v>0</v>
      </c>
      <c r="Z43" s="38">
        <f t="shared" si="36"/>
        <v>0</v>
      </c>
    </row>
    <row r="44" spans="1:26" s="44" customFormat="1" x14ac:dyDescent="0.2">
      <c r="A44" s="43" t="s">
        <v>31</v>
      </c>
      <c r="B44" s="49"/>
      <c r="C44" s="49">
        <f t="shared" ref="C44:Z44" si="37">C42+C43</f>
        <v>0</v>
      </c>
      <c r="D44" s="49">
        <f t="shared" si="37"/>
        <v>0</v>
      </c>
      <c r="E44" s="49">
        <f t="shared" si="37"/>
        <v>0</v>
      </c>
      <c r="F44" s="49">
        <f t="shared" si="37"/>
        <v>0</v>
      </c>
      <c r="G44" s="49">
        <f t="shared" si="37"/>
        <v>0</v>
      </c>
      <c r="H44" s="49">
        <f t="shared" si="37"/>
        <v>0</v>
      </c>
      <c r="I44" s="49">
        <f t="shared" si="37"/>
        <v>0</v>
      </c>
      <c r="J44" s="49">
        <f t="shared" si="37"/>
        <v>0</v>
      </c>
      <c r="K44" s="49">
        <f t="shared" si="37"/>
        <v>0</v>
      </c>
      <c r="L44" s="49">
        <f t="shared" si="37"/>
        <v>0</v>
      </c>
      <c r="M44" s="49">
        <f t="shared" si="37"/>
        <v>0</v>
      </c>
      <c r="N44" s="49">
        <f t="shared" si="37"/>
        <v>0</v>
      </c>
      <c r="O44" s="49">
        <f t="shared" si="37"/>
        <v>0</v>
      </c>
      <c r="P44" s="49">
        <f t="shared" si="37"/>
        <v>0</v>
      </c>
      <c r="Q44" s="49">
        <f t="shared" si="37"/>
        <v>0</v>
      </c>
      <c r="R44" s="49">
        <f t="shared" si="37"/>
        <v>0</v>
      </c>
      <c r="S44" s="49">
        <f t="shared" si="37"/>
        <v>0</v>
      </c>
      <c r="T44" s="49">
        <f t="shared" si="37"/>
        <v>0</v>
      </c>
      <c r="U44" s="49">
        <f t="shared" si="37"/>
        <v>0</v>
      </c>
      <c r="V44" s="49">
        <f t="shared" si="37"/>
        <v>0</v>
      </c>
      <c r="W44" s="49">
        <f t="shared" si="37"/>
        <v>0</v>
      </c>
      <c r="X44" s="49">
        <f t="shared" si="37"/>
        <v>0</v>
      </c>
      <c r="Y44" s="49">
        <f t="shared" si="37"/>
        <v>0</v>
      </c>
      <c r="Z44" s="49">
        <f t="shared" si="37"/>
        <v>0</v>
      </c>
    </row>
    <row r="45" spans="1:26" s="18" customFormat="1" x14ac:dyDescent="0.2">
      <c r="A45" s="16" t="s">
        <v>32</v>
      </c>
      <c r="B45" s="4">
        <f>SUM(C45:Z45)</f>
        <v>266013.69206153962</v>
      </c>
      <c r="C45" s="38">
        <f t="shared" ref="C45:Z45" si="38">C16+C22+C41+C31+C32</f>
        <v>0</v>
      </c>
      <c r="D45" s="38">
        <f t="shared" si="38"/>
        <v>0</v>
      </c>
      <c r="E45" s="38">
        <f t="shared" si="38"/>
        <v>0</v>
      </c>
      <c r="F45" s="38">
        <f t="shared" si="38"/>
        <v>0</v>
      </c>
      <c r="G45" s="38">
        <f t="shared" si="38"/>
        <v>0</v>
      </c>
      <c r="H45" s="38">
        <f t="shared" si="38"/>
        <v>0</v>
      </c>
      <c r="I45" s="38">
        <f t="shared" si="38"/>
        <v>0</v>
      </c>
      <c r="J45" s="38">
        <f t="shared" si="38"/>
        <v>-109777.3338230935</v>
      </c>
      <c r="K45" s="38">
        <f t="shared" si="38"/>
        <v>-106342.79170142629</v>
      </c>
      <c r="L45" s="38">
        <f t="shared" si="38"/>
        <v>-107859.63495228563</v>
      </c>
      <c r="M45" s="38">
        <f t="shared" si="38"/>
        <v>-109388.71043722877</v>
      </c>
      <c r="N45" s="38">
        <f t="shared" si="38"/>
        <v>-110929.74596304602</v>
      </c>
      <c r="O45" s="38">
        <f t="shared" si="38"/>
        <v>576498.51459487819</v>
      </c>
      <c r="P45" s="38">
        <f t="shared" si="38"/>
        <v>66490.934644879802</v>
      </c>
      <c r="Q45" s="38">
        <f t="shared" si="38"/>
        <v>83038.441537896739</v>
      </c>
      <c r="R45" s="38">
        <f t="shared" si="38"/>
        <v>84284.018160965177</v>
      </c>
      <c r="S45" s="38">
        <f t="shared" si="38"/>
        <v>0</v>
      </c>
      <c r="T45" s="38">
        <f t="shared" si="38"/>
        <v>0</v>
      </c>
      <c r="U45" s="38">
        <f t="shared" si="38"/>
        <v>0</v>
      </c>
      <c r="V45" s="38">
        <f t="shared" si="38"/>
        <v>0</v>
      </c>
      <c r="W45" s="38">
        <f t="shared" si="38"/>
        <v>0</v>
      </c>
      <c r="X45" s="38">
        <f t="shared" si="38"/>
        <v>0</v>
      </c>
      <c r="Y45" s="38">
        <f t="shared" si="38"/>
        <v>0</v>
      </c>
      <c r="Z45" s="38">
        <f t="shared" si="38"/>
        <v>0</v>
      </c>
    </row>
    <row r="46" spans="1:26" x14ac:dyDescent="0.2">
      <c r="A46" s="15" t="s">
        <v>50</v>
      </c>
      <c r="B46" s="19">
        <f>IFERROR(IRR(C45:Z45)*4,0)</f>
        <v>0.46154969968930626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x14ac:dyDescent="0.2">
      <c r="A47" s="21"/>
      <c r="B47" s="56"/>
      <c r="C47" s="56"/>
      <c r="D47" s="56"/>
      <c r="E47" s="56"/>
      <c r="F47" s="56"/>
      <c r="G47" s="57"/>
      <c r="H47" s="57"/>
      <c r="I47" s="57"/>
      <c r="J47" s="58"/>
      <c r="K47" s="58"/>
      <c r="L47" s="58"/>
      <c r="M47" s="58"/>
      <c r="N47" s="58"/>
      <c r="O47" s="58"/>
      <c r="P47" s="58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x14ac:dyDescent="0.2">
      <c r="A48" s="9" t="s">
        <v>51</v>
      </c>
      <c r="B48" s="4">
        <f>SUM(C48:Z48)</f>
        <v>905226.17874044925</v>
      </c>
      <c r="C48" s="38">
        <f t="shared" ref="C48:Z48" si="39">C17+C18</f>
        <v>0</v>
      </c>
      <c r="D48" s="38">
        <f t="shared" si="39"/>
        <v>0</v>
      </c>
      <c r="E48" s="38">
        <f t="shared" si="39"/>
        <v>0</v>
      </c>
      <c r="F48" s="38">
        <f t="shared" si="39"/>
        <v>0</v>
      </c>
      <c r="G48" s="38">
        <f t="shared" si="39"/>
        <v>0</v>
      </c>
      <c r="H48" s="38">
        <f t="shared" si="39"/>
        <v>0</v>
      </c>
      <c r="I48" s="38">
        <f t="shared" si="39"/>
        <v>0</v>
      </c>
      <c r="J48" s="38">
        <f t="shared" si="39"/>
        <v>92664.147281705838</v>
      </c>
      <c r="K48" s="38">
        <f t="shared" si="39"/>
        <v>94749.090595544229</v>
      </c>
      <c r="L48" s="38">
        <f t="shared" si="39"/>
        <v>96880.945133943969</v>
      </c>
      <c r="M48" s="38">
        <f t="shared" si="39"/>
        <v>99060.766399457716</v>
      </c>
      <c r="N48" s="38">
        <f t="shared" si="39"/>
        <v>101289.63364344552</v>
      </c>
      <c r="O48" s="38">
        <f t="shared" si="39"/>
        <v>102808.97814809719</v>
      </c>
      <c r="P48" s="38">
        <f t="shared" si="39"/>
        <v>104351.11282031862</v>
      </c>
      <c r="Q48" s="38">
        <f t="shared" si="39"/>
        <v>105916.37951262339</v>
      </c>
      <c r="R48" s="38">
        <f t="shared" si="39"/>
        <v>107505.12520531272</v>
      </c>
      <c r="S48" s="38">
        <f t="shared" si="39"/>
        <v>0</v>
      </c>
      <c r="T48" s="38">
        <f t="shared" si="39"/>
        <v>0</v>
      </c>
      <c r="U48" s="38">
        <f t="shared" si="39"/>
        <v>0</v>
      </c>
      <c r="V48" s="38">
        <f t="shared" si="39"/>
        <v>0</v>
      </c>
      <c r="W48" s="38">
        <f t="shared" si="39"/>
        <v>0</v>
      </c>
      <c r="X48" s="38">
        <f t="shared" si="39"/>
        <v>0</v>
      </c>
      <c r="Y48" s="38">
        <f t="shared" si="39"/>
        <v>0</v>
      </c>
      <c r="Z48" s="38">
        <f t="shared" si="39"/>
        <v>0</v>
      </c>
    </row>
    <row r="49" spans="1:26" x14ac:dyDescent="0.2">
      <c r="A49" s="9" t="s">
        <v>6</v>
      </c>
      <c r="B49" s="4">
        <f>SUM(C49:Z49)</f>
        <v>-589559.55016400467</v>
      </c>
      <c r="C49" s="38">
        <f t="shared" ref="C49:V49" si="40">C23+C25+C27+C28+C29+C24</f>
        <v>0</v>
      </c>
      <c r="D49" s="38">
        <f t="shared" si="40"/>
        <v>0</v>
      </c>
      <c r="E49" s="38">
        <f t="shared" si="40"/>
        <v>0</v>
      </c>
      <c r="F49" s="38">
        <f t="shared" si="40"/>
        <v>0</v>
      </c>
      <c r="G49" s="38">
        <f t="shared" si="40"/>
        <v>0</v>
      </c>
      <c r="H49" s="38">
        <f t="shared" si="40"/>
        <v>-13401.211037692028</v>
      </c>
      <c r="I49" s="38">
        <f t="shared" si="40"/>
        <v>-13401.211037692028</v>
      </c>
      <c r="J49" s="38">
        <f t="shared" si="40"/>
        <v>-109777.3338230935</v>
      </c>
      <c r="K49" s="38">
        <f t="shared" si="40"/>
        <v>-106342.79170142629</v>
      </c>
      <c r="L49" s="38">
        <f t="shared" si="40"/>
        <v>-107859.63495228563</v>
      </c>
      <c r="M49" s="38">
        <f t="shared" si="40"/>
        <v>-109388.71043722877</v>
      </c>
      <c r="N49" s="38">
        <f t="shared" si="40"/>
        <v>-110929.74596304602</v>
      </c>
      <c r="O49" s="38">
        <f t="shared" si="40"/>
        <v>-9605.5776967127349</v>
      </c>
      <c r="P49" s="38">
        <f t="shared" si="40"/>
        <v>-4584.9034204688733</v>
      </c>
      <c r="Q49" s="38">
        <f t="shared" si="40"/>
        <v>-2118.3275902524679</v>
      </c>
      <c r="R49" s="38">
        <f t="shared" si="40"/>
        <v>-2150.1025041062544</v>
      </c>
      <c r="S49" s="38">
        <f t="shared" si="40"/>
        <v>0</v>
      </c>
      <c r="T49" s="38">
        <f t="shared" si="40"/>
        <v>0</v>
      </c>
      <c r="U49" s="38">
        <f t="shared" si="40"/>
        <v>0</v>
      </c>
      <c r="V49" s="38">
        <f t="shared" si="40"/>
        <v>0</v>
      </c>
      <c r="W49" s="38">
        <f>W23+W25+W27</f>
        <v>0</v>
      </c>
      <c r="X49" s="38">
        <f>X23+X25+X27</f>
        <v>0</v>
      </c>
      <c r="Y49" s="38">
        <f>Y23+Y25+Y27</f>
        <v>0</v>
      </c>
      <c r="Z49" s="38">
        <f>Z23+Z25+Z27</f>
        <v>0</v>
      </c>
    </row>
    <row r="50" spans="1:26" x14ac:dyDescent="0.2">
      <c r="A50" s="9" t="s">
        <v>7</v>
      </c>
      <c r="B50" s="4">
        <f>SUM(C50:Z50)</f>
        <v>315666.62857644458</v>
      </c>
      <c r="C50" s="38">
        <f t="shared" ref="C50:W50" si="41">C48+C49</f>
        <v>0</v>
      </c>
      <c r="D50" s="38">
        <f t="shared" si="41"/>
        <v>0</v>
      </c>
      <c r="E50" s="38">
        <f t="shared" si="41"/>
        <v>0</v>
      </c>
      <c r="F50" s="38">
        <f t="shared" si="41"/>
        <v>0</v>
      </c>
      <c r="G50" s="38">
        <f t="shared" si="41"/>
        <v>0</v>
      </c>
      <c r="H50" s="38">
        <f t="shared" si="41"/>
        <v>-13401.211037692028</v>
      </c>
      <c r="I50" s="38">
        <f t="shared" si="41"/>
        <v>-13401.211037692028</v>
      </c>
      <c r="J50" s="38">
        <f t="shared" si="41"/>
        <v>-17113.186541387666</v>
      </c>
      <c r="K50" s="38">
        <f t="shared" si="41"/>
        <v>-11593.701105882064</v>
      </c>
      <c r="L50" s="38">
        <f t="shared" si="41"/>
        <v>-10978.689818341663</v>
      </c>
      <c r="M50" s="38">
        <f t="shared" si="41"/>
        <v>-10327.944037771056</v>
      </c>
      <c r="N50" s="38">
        <f t="shared" si="41"/>
        <v>-9640.1123196005065</v>
      </c>
      <c r="O50" s="38">
        <f t="shared" si="41"/>
        <v>93203.400451384456</v>
      </c>
      <c r="P50" s="38">
        <f t="shared" si="41"/>
        <v>99766.209399849744</v>
      </c>
      <c r="Q50" s="38">
        <f t="shared" si="41"/>
        <v>103798.05192237093</v>
      </c>
      <c r="R50" s="38">
        <f t="shared" si="41"/>
        <v>105355.02270120647</v>
      </c>
      <c r="S50" s="38">
        <f t="shared" si="41"/>
        <v>0</v>
      </c>
      <c r="T50" s="38">
        <f t="shared" si="41"/>
        <v>0</v>
      </c>
      <c r="U50" s="38">
        <f t="shared" si="41"/>
        <v>0</v>
      </c>
      <c r="V50" s="38">
        <f t="shared" si="41"/>
        <v>0</v>
      </c>
      <c r="W50" s="38">
        <f t="shared" si="41"/>
        <v>0</v>
      </c>
      <c r="X50" s="38">
        <f t="shared" ref="X50:Z50" si="42">X48+X49</f>
        <v>0</v>
      </c>
      <c r="Y50" s="38">
        <f t="shared" si="42"/>
        <v>0</v>
      </c>
      <c r="Z50" s="38">
        <f t="shared" si="42"/>
        <v>0</v>
      </c>
    </row>
    <row r="51" spans="1:26" x14ac:dyDescent="0.2">
      <c r="A51" s="9" t="s">
        <v>8</v>
      </c>
      <c r="B51" s="4"/>
      <c r="C51" s="38">
        <f t="shared" ref="C51:W51" si="43">B51+C50</f>
        <v>0</v>
      </c>
      <c r="D51" s="38">
        <f t="shared" si="43"/>
        <v>0</v>
      </c>
      <c r="E51" s="38">
        <f t="shared" si="43"/>
        <v>0</v>
      </c>
      <c r="F51" s="38">
        <f t="shared" si="43"/>
        <v>0</v>
      </c>
      <c r="G51" s="38">
        <f t="shared" si="43"/>
        <v>0</v>
      </c>
      <c r="H51" s="38">
        <f t="shared" si="43"/>
        <v>-13401.211037692028</v>
      </c>
      <c r="I51" s="38">
        <f t="shared" si="43"/>
        <v>-26802.422075384056</v>
      </c>
      <c r="J51" s="38">
        <f t="shared" si="43"/>
        <v>-43915.608616771722</v>
      </c>
      <c r="K51" s="38">
        <f t="shared" si="43"/>
        <v>-55509.309722653787</v>
      </c>
      <c r="L51" s="38">
        <f t="shared" si="43"/>
        <v>-66487.999540995457</v>
      </c>
      <c r="M51" s="38">
        <f t="shared" si="43"/>
        <v>-76815.943578766513</v>
      </c>
      <c r="N51" s="38">
        <f t="shared" si="43"/>
        <v>-86456.05589836702</v>
      </c>
      <c r="O51" s="38">
        <f t="shared" si="43"/>
        <v>6747.3445530174358</v>
      </c>
      <c r="P51" s="38">
        <f t="shared" si="43"/>
        <v>106513.55395286718</v>
      </c>
      <c r="Q51" s="38">
        <f t="shared" si="43"/>
        <v>210311.60587523811</v>
      </c>
      <c r="R51" s="38">
        <f t="shared" si="43"/>
        <v>315666.62857644458</v>
      </c>
      <c r="S51" s="38">
        <f t="shared" si="43"/>
        <v>315666.62857644458</v>
      </c>
      <c r="T51" s="38">
        <f t="shared" si="43"/>
        <v>315666.62857644458</v>
      </c>
      <c r="U51" s="38">
        <f t="shared" si="43"/>
        <v>315666.62857644458</v>
      </c>
      <c r="V51" s="38">
        <f t="shared" si="43"/>
        <v>315666.62857644458</v>
      </c>
      <c r="W51" s="38">
        <f t="shared" si="43"/>
        <v>315666.62857644458</v>
      </c>
      <c r="X51" s="38">
        <f t="shared" ref="X51" si="44">W51+X50</f>
        <v>315666.62857644458</v>
      </c>
      <c r="Y51" s="38">
        <f t="shared" ref="Y51" si="45">X51+Y50</f>
        <v>315666.62857644458</v>
      </c>
      <c r="Z51" s="38">
        <f t="shared" ref="Z51" si="46">Y51+Z50</f>
        <v>315666.62857644458</v>
      </c>
    </row>
    <row r="52" spans="1:26" x14ac:dyDescent="0.2">
      <c r="A52" s="9" t="s">
        <v>9</v>
      </c>
      <c r="B52" s="4">
        <f>SUM(C52:Z52)</f>
        <v>315666.62857644458</v>
      </c>
      <c r="C52" s="38">
        <f t="shared" ref="C52:W52" si="47">MAX(MIN(C51,C50),0)</f>
        <v>0</v>
      </c>
      <c r="D52" s="38">
        <f t="shared" si="47"/>
        <v>0</v>
      </c>
      <c r="E52" s="38">
        <f t="shared" si="47"/>
        <v>0</v>
      </c>
      <c r="F52" s="38">
        <f t="shared" si="47"/>
        <v>0</v>
      </c>
      <c r="G52" s="38">
        <f t="shared" si="47"/>
        <v>0</v>
      </c>
      <c r="H52" s="38">
        <f t="shared" si="47"/>
        <v>0</v>
      </c>
      <c r="I52" s="38">
        <f t="shared" si="47"/>
        <v>0</v>
      </c>
      <c r="J52" s="38">
        <f t="shared" si="47"/>
        <v>0</v>
      </c>
      <c r="K52" s="38">
        <f t="shared" si="47"/>
        <v>0</v>
      </c>
      <c r="L52" s="38">
        <f t="shared" si="47"/>
        <v>0</v>
      </c>
      <c r="M52" s="38">
        <f t="shared" si="47"/>
        <v>0</v>
      </c>
      <c r="N52" s="38">
        <f t="shared" si="47"/>
        <v>0</v>
      </c>
      <c r="O52" s="38">
        <f t="shared" si="47"/>
        <v>6747.3445530174358</v>
      </c>
      <c r="P52" s="38">
        <f t="shared" si="47"/>
        <v>99766.209399849744</v>
      </c>
      <c r="Q52" s="38">
        <f t="shared" si="47"/>
        <v>103798.05192237093</v>
      </c>
      <c r="R52" s="38">
        <f t="shared" si="47"/>
        <v>105355.02270120647</v>
      </c>
      <c r="S52" s="38">
        <f t="shared" si="47"/>
        <v>0</v>
      </c>
      <c r="T52" s="38">
        <f t="shared" si="47"/>
        <v>0</v>
      </c>
      <c r="U52" s="38">
        <f t="shared" si="47"/>
        <v>0</v>
      </c>
      <c r="V52" s="38">
        <f t="shared" si="47"/>
        <v>0</v>
      </c>
      <c r="W52" s="38">
        <f t="shared" si="47"/>
        <v>0</v>
      </c>
      <c r="X52" s="38">
        <f t="shared" ref="X52:Z52" si="48">MAX(MIN(X51,X50),0)</f>
        <v>0</v>
      </c>
      <c r="Y52" s="38">
        <f t="shared" si="48"/>
        <v>0</v>
      </c>
      <c r="Z52" s="38">
        <f t="shared" si="48"/>
        <v>0</v>
      </c>
    </row>
    <row r="53" spans="1:26" x14ac:dyDescent="0.2">
      <c r="A53" s="9" t="s">
        <v>10</v>
      </c>
      <c r="B53" s="4">
        <f>SUM(C53:Z53)</f>
        <v>-63133.32571528892</v>
      </c>
      <c r="C53" s="38">
        <f t="shared" ref="C53:Q53" si="49">-C52*0.2</f>
        <v>0</v>
      </c>
      <c r="D53" s="38">
        <f t="shared" si="49"/>
        <v>0</v>
      </c>
      <c r="E53" s="38">
        <f t="shared" si="49"/>
        <v>0</v>
      </c>
      <c r="F53" s="38">
        <f t="shared" si="49"/>
        <v>0</v>
      </c>
      <c r="G53" s="38">
        <f t="shared" si="49"/>
        <v>0</v>
      </c>
      <c r="H53" s="38">
        <f t="shared" si="49"/>
        <v>0</v>
      </c>
      <c r="I53" s="38">
        <f t="shared" si="49"/>
        <v>0</v>
      </c>
      <c r="J53" s="38">
        <f t="shared" si="49"/>
        <v>0</v>
      </c>
      <c r="K53" s="38">
        <f t="shared" si="49"/>
        <v>0</v>
      </c>
      <c r="L53" s="38">
        <f t="shared" si="49"/>
        <v>0</v>
      </c>
      <c r="M53" s="38">
        <f t="shared" si="49"/>
        <v>0</v>
      </c>
      <c r="N53" s="38">
        <f t="shared" si="49"/>
        <v>0</v>
      </c>
      <c r="O53" s="38">
        <f>-O52*0.2</f>
        <v>-1349.4689106034873</v>
      </c>
      <c r="P53" s="38">
        <f t="shared" si="49"/>
        <v>-19953.241879969952</v>
      </c>
      <c r="Q53" s="38">
        <f t="shared" si="49"/>
        <v>-20759.610384474188</v>
      </c>
      <c r="R53" s="38">
        <f>-R52*0.2</f>
        <v>-21071.004540241294</v>
      </c>
      <c r="S53" s="38">
        <f t="shared" ref="S53:W53" si="50">-S52*0.2</f>
        <v>0</v>
      </c>
      <c r="T53" s="38">
        <f t="shared" si="50"/>
        <v>0</v>
      </c>
      <c r="U53" s="38">
        <f t="shared" si="50"/>
        <v>0</v>
      </c>
      <c r="V53" s="38">
        <f t="shared" si="50"/>
        <v>0</v>
      </c>
      <c r="W53" s="38">
        <f t="shared" si="50"/>
        <v>0</v>
      </c>
      <c r="X53" s="38">
        <f t="shared" ref="X53:Z53" si="51">-X52*0.2</f>
        <v>0</v>
      </c>
      <c r="Y53" s="38">
        <f t="shared" si="51"/>
        <v>0</v>
      </c>
      <c r="Z53" s="38">
        <f t="shared" si="51"/>
        <v>0</v>
      </c>
    </row>
    <row r="54" spans="1:26" x14ac:dyDescent="0.2">
      <c r="A54" s="9" t="s">
        <v>11</v>
      </c>
      <c r="B54" s="4">
        <f>SUM(C54:Z54)</f>
        <v>252533.30286115565</v>
      </c>
      <c r="C54" s="38">
        <f t="shared" ref="C54:W54" si="52">C50+C53</f>
        <v>0</v>
      </c>
      <c r="D54" s="38">
        <f t="shared" si="52"/>
        <v>0</v>
      </c>
      <c r="E54" s="38">
        <f t="shared" si="52"/>
        <v>0</v>
      </c>
      <c r="F54" s="38">
        <f t="shared" si="52"/>
        <v>0</v>
      </c>
      <c r="G54" s="38">
        <f t="shared" si="52"/>
        <v>0</v>
      </c>
      <c r="H54" s="38">
        <f t="shared" si="52"/>
        <v>-13401.211037692028</v>
      </c>
      <c r="I54" s="38">
        <f t="shared" si="52"/>
        <v>-13401.211037692028</v>
      </c>
      <c r="J54" s="38">
        <f t="shared" si="52"/>
        <v>-17113.186541387666</v>
      </c>
      <c r="K54" s="38">
        <f t="shared" si="52"/>
        <v>-11593.701105882064</v>
      </c>
      <c r="L54" s="38">
        <f t="shared" si="52"/>
        <v>-10978.689818341663</v>
      </c>
      <c r="M54" s="38">
        <f t="shared" si="52"/>
        <v>-10327.944037771056</v>
      </c>
      <c r="N54" s="38">
        <f t="shared" si="52"/>
        <v>-9640.1123196005065</v>
      </c>
      <c r="O54" s="38">
        <f t="shared" si="52"/>
        <v>91853.931540780963</v>
      </c>
      <c r="P54" s="38">
        <f t="shared" si="52"/>
        <v>79812.967519879792</v>
      </c>
      <c r="Q54" s="38">
        <f t="shared" si="52"/>
        <v>83038.441537896739</v>
      </c>
      <c r="R54" s="38">
        <f t="shared" si="52"/>
        <v>84284.018160965177</v>
      </c>
      <c r="S54" s="38">
        <f t="shared" si="52"/>
        <v>0</v>
      </c>
      <c r="T54" s="38">
        <f t="shared" si="52"/>
        <v>0</v>
      </c>
      <c r="U54" s="38">
        <f t="shared" si="52"/>
        <v>0</v>
      </c>
      <c r="V54" s="38">
        <f t="shared" si="52"/>
        <v>0</v>
      </c>
      <c r="W54" s="38">
        <f t="shared" si="52"/>
        <v>0</v>
      </c>
      <c r="X54" s="38">
        <f t="shared" ref="X54:Z54" si="53">X50+X53</f>
        <v>0</v>
      </c>
      <c r="Y54" s="38">
        <f t="shared" si="53"/>
        <v>0</v>
      </c>
      <c r="Z54" s="38">
        <f t="shared" si="53"/>
        <v>0</v>
      </c>
    </row>
    <row r="55" spans="1:26" x14ac:dyDescent="0.2">
      <c r="A55" s="9" t="s">
        <v>8</v>
      </c>
      <c r="B55" s="4"/>
      <c r="C55" s="38">
        <f t="shared" ref="C55:W55" si="54">B55+C54</f>
        <v>0</v>
      </c>
      <c r="D55" s="38">
        <f t="shared" si="54"/>
        <v>0</v>
      </c>
      <c r="E55" s="38">
        <f t="shared" si="54"/>
        <v>0</v>
      </c>
      <c r="F55" s="38">
        <f t="shared" si="54"/>
        <v>0</v>
      </c>
      <c r="G55" s="38">
        <f t="shared" si="54"/>
        <v>0</v>
      </c>
      <c r="H55" s="38">
        <f t="shared" si="54"/>
        <v>-13401.211037692028</v>
      </c>
      <c r="I55" s="38">
        <f t="shared" si="54"/>
        <v>-26802.422075384056</v>
      </c>
      <c r="J55" s="38">
        <f t="shared" si="54"/>
        <v>-43915.608616771722</v>
      </c>
      <c r="K55" s="38">
        <f t="shared" si="54"/>
        <v>-55509.309722653787</v>
      </c>
      <c r="L55" s="38">
        <f t="shared" si="54"/>
        <v>-66487.999540995457</v>
      </c>
      <c r="M55" s="38">
        <f t="shared" si="54"/>
        <v>-76815.943578766513</v>
      </c>
      <c r="N55" s="38">
        <f t="shared" si="54"/>
        <v>-86456.05589836702</v>
      </c>
      <c r="O55" s="38">
        <f t="shared" si="54"/>
        <v>5397.8756424139428</v>
      </c>
      <c r="P55" s="38">
        <f t="shared" si="54"/>
        <v>85210.843162293735</v>
      </c>
      <c r="Q55" s="38">
        <f t="shared" si="54"/>
        <v>168249.28470019047</v>
      </c>
      <c r="R55" s="38">
        <f t="shared" si="54"/>
        <v>252533.30286115565</v>
      </c>
      <c r="S55" s="38">
        <f t="shared" si="54"/>
        <v>252533.30286115565</v>
      </c>
      <c r="T55" s="38">
        <f t="shared" si="54"/>
        <v>252533.30286115565</v>
      </c>
      <c r="U55" s="38">
        <f t="shared" si="54"/>
        <v>252533.30286115565</v>
      </c>
      <c r="V55" s="38">
        <f t="shared" si="54"/>
        <v>252533.30286115565</v>
      </c>
      <c r="W55" s="38">
        <f t="shared" si="54"/>
        <v>252533.30286115565</v>
      </c>
      <c r="X55" s="38">
        <f t="shared" ref="X55" si="55">W55+X54</f>
        <v>252533.30286115565</v>
      </c>
      <c r="Y55" s="38">
        <f t="shared" ref="Y55" si="56">X55+Y54</f>
        <v>252533.30286115565</v>
      </c>
      <c r="Z55" s="38">
        <f t="shared" ref="Z55" si="57">Y55+Z54</f>
        <v>252533.30286115565</v>
      </c>
    </row>
    <row r="56" spans="1:26" x14ac:dyDescent="0.2">
      <c r="A56" s="21"/>
      <c r="B56" s="22">
        <f>IFERROR(B53/B52,0)</f>
        <v>-0.2</v>
      </c>
      <c r="C56" s="22"/>
      <c r="D56" s="22"/>
      <c r="E56" s="22"/>
      <c r="F56" s="22"/>
      <c r="G56" s="23"/>
      <c r="H56" s="23"/>
      <c r="I56" s="23"/>
      <c r="J56" s="24"/>
      <c r="K56" s="24"/>
      <c r="L56" s="24"/>
      <c r="M56" s="24"/>
      <c r="N56" s="24"/>
      <c r="O56" s="24"/>
      <c r="P56" s="24"/>
    </row>
    <row r="57" spans="1:26" hidden="1" x14ac:dyDescent="0.2"/>
    <row r="58" spans="1:26" hidden="1" x14ac:dyDescent="0.2"/>
    <row r="59" spans="1:26" x14ac:dyDescent="0.2"/>
    <row r="60" spans="1:26" x14ac:dyDescent="0.2"/>
  </sheetData>
  <mergeCells count="6">
    <mergeCell ref="W10:Z10"/>
    <mergeCell ref="C10:F10"/>
    <mergeCell ref="G10:J10"/>
    <mergeCell ref="K10:N10"/>
    <mergeCell ref="O10:R10"/>
    <mergeCell ref="S10:V10"/>
  </mergeCells>
  <conditionalFormatting sqref="W23:Z23">
    <cfRule type="cellIs" dxfId="427" priority="40" operator="equal">
      <formula>0</formula>
    </cfRule>
  </conditionalFormatting>
  <conditionalFormatting sqref="W25:Z25">
    <cfRule type="cellIs" dxfId="426" priority="39" operator="equal">
      <formula>0</formula>
    </cfRule>
  </conditionalFormatting>
  <conditionalFormatting sqref="W26:Z26">
    <cfRule type="cellIs" dxfId="425" priority="38" operator="equal">
      <formula>0</formula>
    </cfRule>
  </conditionalFormatting>
  <conditionalFormatting sqref="W27:Z29">
    <cfRule type="cellIs" dxfId="424" priority="37" operator="equal">
      <formula>0</formula>
    </cfRule>
  </conditionalFormatting>
  <conditionalFormatting sqref="B31:Z31">
    <cfRule type="cellIs" dxfId="423" priority="52" operator="equal">
      <formula>0</formula>
    </cfRule>
  </conditionalFormatting>
  <conditionalFormatting sqref="B32:Z32">
    <cfRule type="cellIs" dxfId="422" priority="51" operator="equal">
      <formula>0</formula>
    </cfRule>
  </conditionalFormatting>
  <conditionalFormatting sqref="B35:Z35">
    <cfRule type="cellIs" dxfId="421" priority="50" operator="equal">
      <formula>0</formula>
    </cfRule>
  </conditionalFormatting>
  <conditionalFormatting sqref="B36:Z36">
    <cfRule type="cellIs" dxfId="420" priority="49" operator="equal">
      <formula>0</formula>
    </cfRule>
  </conditionalFormatting>
  <conditionalFormatting sqref="B37:Z37">
    <cfRule type="cellIs" dxfId="419" priority="48" operator="equal">
      <formula>0</formula>
    </cfRule>
  </conditionalFormatting>
  <conditionalFormatting sqref="B38:Z38 W39:Z39">
    <cfRule type="cellIs" dxfId="418" priority="47" operator="equal">
      <formula>0</formula>
    </cfRule>
  </conditionalFormatting>
  <conditionalFormatting sqref="B41:Z41">
    <cfRule type="cellIs" dxfId="417" priority="46" operator="equal">
      <formula>0</formula>
    </cfRule>
  </conditionalFormatting>
  <conditionalFormatting sqref="B43:Z43">
    <cfRule type="cellIs" dxfId="416" priority="45" operator="equal">
      <formula>0</formula>
    </cfRule>
  </conditionalFormatting>
  <conditionalFormatting sqref="B45:Z45">
    <cfRule type="cellIs" dxfId="415" priority="44" operator="equal">
      <formula>0</formula>
    </cfRule>
  </conditionalFormatting>
  <conditionalFormatting sqref="C46:Z46">
    <cfRule type="cellIs" dxfId="414" priority="43" operator="equal">
      <formula>0</formula>
    </cfRule>
  </conditionalFormatting>
  <conditionalFormatting sqref="C48:Z48 C50:Z55 W49:Z49">
    <cfRule type="cellIs" dxfId="413" priority="42" operator="equal">
      <formula>0</formula>
    </cfRule>
  </conditionalFormatting>
  <conditionalFormatting sqref="B33:Z33">
    <cfRule type="cellIs" dxfId="412" priority="41" operator="equal">
      <formula>0</formula>
    </cfRule>
  </conditionalFormatting>
  <conditionalFormatting sqref="B19:Z21 B18:F18 B17:Z17">
    <cfRule type="cellIs" dxfId="411" priority="57" operator="equal">
      <formula>0</formula>
    </cfRule>
  </conditionalFormatting>
  <conditionalFormatting sqref="C18:Z18">
    <cfRule type="cellIs" dxfId="410" priority="36" operator="equal">
      <formula>0</formula>
    </cfRule>
  </conditionalFormatting>
  <conditionalFormatting sqref="B39:V39">
    <cfRule type="cellIs" dxfId="409" priority="35" operator="equal">
      <formula>0</formula>
    </cfRule>
  </conditionalFormatting>
  <conditionalFormatting sqref="B23:F23">
    <cfRule type="cellIs" dxfId="408" priority="34" operator="equal">
      <formula>0</formula>
    </cfRule>
  </conditionalFormatting>
  <conditionalFormatting sqref="B25:F25">
    <cfRule type="cellIs" dxfId="407" priority="33" operator="equal">
      <formula>0</formula>
    </cfRule>
  </conditionalFormatting>
  <conditionalFormatting sqref="B26:F26">
    <cfRule type="cellIs" dxfId="406" priority="32" operator="equal">
      <formula>0</formula>
    </cfRule>
  </conditionalFormatting>
  <conditionalFormatting sqref="B27:F27 B28:C28 B29">
    <cfRule type="cellIs" dxfId="405" priority="31" operator="equal">
      <formula>0</formula>
    </cfRule>
  </conditionalFormatting>
  <conditionalFormatting sqref="G23:V23">
    <cfRule type="cellIs" dxfId="404" priority="30" operator="equal">
      <formula>0</formula>
    </cfRule>
  </conditionalFormatting>
  <conditionalFormatting sqref="C25:V25">
    <cfRule type="cellIs" dxfId="403" priority="29" operator="equal">
      <formula>0</formula>
    </cfRule>
  </conditionalFormatting>
  <conditionalFormatting sqref="G26:V26">
    <cfRule type="cellIs" dxfId="402" priority="28" operator="equal">
      <formula>0</formula>
    </cfRule>
  </conditionalFormatting>
  <conditionalFormatting sqref="G27:V27 D28:V29">
    <cfRule type="cellIs" dxfId="401" priority="27" operator="equal">
      <formula>0</formula>
    </cfRule>
  </conditionalFormatting>
  <conditionalFormatting sqref="C29">
    <cfRule type="cellIs" dxfId="400" priority="23" operator="equal">
      <formula>0</formula>
    </cfRule>
  </conditionalFormatting>
  <conditionalFormatting sqref="F29">
    <cfRule type="cellIs" dxfId="399" priority="26" operator="equal">
      <formula>0</formula>
    </cfRule>
  </conditionalFormatting>
  <conditionalFormatting sqref="E29">
    <cfRule type="cellIs" dxfId="398" priority="25" operator="equal">
      <formula>0</formula>
    </cfRule>
  </conditionalFormatting>
  <conditionalFormatting sqref="D29">
    <cfRule type="cellIs" dxfId="397" priority="24" operator="equal">
      <formula>0</formula>
    </cfRule>
  </conditionalFormatting>
  <conditionalFormatting sqref="D28">
    <cfRule type="cellIs" dxfId="396" priority="20" operator="equal">
      <formula>0</formula>
    </cfRule>
  </conditionalFormatting>
  <conditionalFormatting sqref="F28">
    <cfRule type="cellIs" dxfId="395" priority="22" operator="equal">
      <formula>0</formula>
    </cfRule>
  </conditionalFormatting>
  <conditionalFormatting sqref="E28">
    <cfRule type="cellIs" dxfId="394" priority="21" operator="equal">
      <formula>0</formula>
    </cfRule>
  </conditionalFormatting>
  <conditionalFormatting sqref="C49:V49">
    <cfRule type="cellIs" dxfId="393" priority="19" operator="equal">
      <formula>0</formula>
    </cfRule>
  </conditionalFormatting>
  <conditionalFormatting sqref="B24">
    <cfRule type="cellIs" dxfId="392" priority="18" operator="equal">
      <formula>0</formula>
    </cfRule>
  </conditionalFormatting>
  <conditionalFormatting sqref="S24:Z24">
    <cfRule type="cellIs" dxfId="391" priority="17" operator="equal">
      <formula>0</formula>
    </cfRule>
  </conditionalFormatting>
  <conditionalFormatting sqref="S24:V24">
    <cfRule type="cellIs" dxfId="390" priority="16" operator="equal">
      <formula>0</formula>
    </cfRule>
  </conditionalFormatting>
  <conditionalFormatting sqref="C24:Z24">
    <cfRule type="cellIs" dxfId="389" priority="15" operator="equal">
      <formula>0</formula>
    </cfRule>
  </conditionalFormatting>
  <conditionalFormatting sqref="C24:Z24">
    <cfRule type="cellIs" dxfId="388" priority="14" operator="equal">
      <formula>0</formula>
    </cfRule>
  </conditionalFormatting>
  <conditionalFormatting sqref="C24:Z24">
    <cfRule type="cellIs" dxfId="387" priority="13" operator="equal">
      <formula>0</formula>
    </cfRule>
  </conditionalFormatting>
  <conditionalFormatting sqref="G24">
    <cfRule type="cellIs" dxfId="386" priority="12" operator="equal">
      <formula>0</formula>
    </cfRule>
  </conditionalFormatting>
  <conditionalFormatting sqref="H24">
    <cfRule type="cellIs" dxfId="385" priority="11" operator="equal">
      <formula>0</formula>
    </cfRule>
  </conditionalFormatting>
  <conditionalFormatting sqref="I24">
    <cfRule type="cellIs" dxfId="384" priority="10" operator="equal">
      <formula>0</formula>
    </cfRule>
  </conditionalFormatting>
  <conditionalFormatting sqref="J24">
    <cfRule type="cellIs" dxfId="383" priority="9" operator="equal">
      <formula>0</formula>
    </cfRule>
  </conditionalFormatting>
  <conditionalFormatting sqref="G24">
    <cfRule type="cellIs" dxfId="382" priority="8" operator="equal">
      <formula>0</formula>
    </cfRule>
  </conditionalFormatting>
  <conditionalFormatting sqref="F24">
    <cfRule type="cellIs" dxfId="381" priority="7" operator="equal">
      <formula>0</formula>
    </cfRule>
  </conditionalFormatting>
  <conditionalFormatting sqref="C24:Z24">
    <cfRule type="cellIs" dxfId="380" priority="6" operator="equal">
      <formula>0</formula>
    </cfRule>
  </conditionalFormatting>
  <conditionalFormatting sqref="B46">
    <cfRule type="cellIs" dxfId="379" priority="5" operator="equal">
      <formula>0</formula>
    </cfRule>
  </conditionalFormatting>
  <conditionalFormatting sqref="B48 B50:B55">
    <cfRule type="cellIs" dxfId="378" priority="4" operator="equal">
      <formula>0</formula>
    </cfRule>
  </conditionalFormatting>
  <conditionalFormatting sqref="B49">
    <cfRule type="cellIs" dxfId="377" priority="3" operator="equal">
      <formula>0</formula>
    </cfRule>
  </conditionalFormatting>
  <conditionalFormatting sqref="C15:V15">
    <cfRule type="cellIs" dxfId="376" priority="1" operator="equal">
      <formula>0</formula>
    </cfRule>
  </conditionalFormatting>
  <pageMargins left="0.56000000000000005" right="0.56000000000000005" top="0.47244094488188981" bottom="0.3937007874015748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60"/>
  <sheetViews>
    <sheetView zoomScale="70" zoomScaleNormal="70" zoomScaleSheetLayoutView="70" workbookViewId="0">
      <selection activeCell="B4" sqref="B4"/>
    </sheetView>
  </sheetViews>
  <sheetFormatPr defaultColWidth="0" defaultRowHeight="12.75" zeroHeight="1" outlineLevelCol="1" x14ac:dyDescent="0.2"/>
  <cols>
    <col min="1" max="1" width="36.42578125" bestFit="1" customWidth="1"/>
    <col min="2" max="2" width="14.140625" style="7" customWidth="1"/>
    <col min="3" max="4" width="9.28515625" style="7" hidden="1" customWidth="1" outlineLevel="1"/>
    <col min="5" max="5" width="9.28515625" style="7" bestFit="1" customWidth="1" collapsed="1"/>
    <col min="6" max="6" width="9.28515625" style="7" bestFit="1" customWidth="1"/>
    <col min="7" max="9" width="9.28515625" style="12" bestFit="1" customWidth="1"/>
    <col min="10" max="22" width="9.28515625" bestFit="1" customWidth="1"/>
    <col min="23" max="26" width="9.28515625" hidden="1" customWidth="1"/>
    <col min="27" max="16384" width="9.140625" hidden="1"/>
  </cols>
  <sheetData>
    <row r="1" spans="1:26" ht="20.25" x14ac:dyDescent="0.3">
      <c r="A1" s="33" t="s">
        <v>88</v>
      </c>
      <c r="Q1" s="156">
        <f>B24/B23</f>
        <v>3.9920559156269429E-2</v>
      </c>
      <c r="R1" s="155">
        <v>6.935339259445914E-3</v>
      </c>
    </row>
    <row r="2" spans="1:26" x14ac:dyDescent="0.2">
      <c r="A2" s="50" t="s">
        <v>112</v>
      </c>
      <c r="B2" s="53"/>
      <c r="C2" s="53"/>
      <c r="D2" s="53"/>
      <c r="E2" s="53"/>
      <c r="F2" s="53"/>
      <c r="G2" s="68"/>
      <c r="H2" s="23"/>
      <c r="I2" s="23"/>
      <c r="J2" s="24"/>
    </row>
    <row r="3" spans="1:26" x14ac:dyDescent="0.2">
      <c r="A3" s="50"/>
      <c r="B3" s="53"/>
      <c r="C3" s="53"/>
      <c r="D3" s="53"/>
      <c r="E3" s="53"/>
      <c r="F3" s="53"/>
      <c r="G3" s="69"/>
      <c r="H3" s="31"/>
      <c r="J3" s="12"/>
    </row>
    <row r="4" spans="1:26" x14ac:dyDescent="0.2">
      <c r="A4" s="60" t="s">
        <v>56</v>
      </c>
      <c r="B4" s="55">
        <f>'Э2 (СЗ)'!B4*(1+ИДиР!B27/2)</f>
        <v>40.3142</v>
      </c>
      <c r="C4" s="53"/>
      <c r="D4" s="53"/>
      <c r="E4" s="53"/>
      <c r="F4" s="50"/>
      <c r="G4" s="96"/>
      <c r="H4"/>
      <c r="I4"/>
    </row>
    <row r="5" spans="1:26" x14ac:dyDescent="0.2">
      <c r="A5" s="60" t="s">
        <v>48</v>
      </c>
      <c r="B5" s="37">
        <f>ИДиР!E7</f>
        <v>13614.75</v>
      </c>
      <c r="C5" s="53"/>
      <c r="D5" s="53"/>
      <c r="E5" s="53"/>
      <c r="F5" s="50"/>
      <c r="G5" s="50"/>
      <c r="H5"/>
      <c r="I5"/>
    </row>
    <row r="6" spans="1:26" x14ac:dyDescent="0.2">
      <c r="A6" s="60" t="s">
        <v>151</v>
      </c>
      <c r="B6" s="37">
        <f>B4*B5</f>
        <v>548867.75445000001</v>
      </c>
      <c r="C6" s="53"/>
      <c r="D6" s="53"/>
      <c r="E6" s="53"/>
      <c r="F6" s="50"/>
      <c r="G6" s="50"/>
      <c r="H6"/>
      <c r="I6"/>
      <c r="N6" s="52"/>
    </row>
    <row r="7" spans="1:26" x14ac:dyDescent="0.2">
      <c r="A7" s="70" t="s">
        <v>149</v>
      </c>
      <c r="B7" s="71">
        <f>B6*ИДиР!E11</f>
        <v>27443.387722500003</v>
      </c>
      <c r="C7" s="53"/>
      <c r="D7" s="53"/>
      <c r="E7" s="53"/>
      <c r="F7" s="72"/>
      <c r="G7" s="72"/>
      <c r="H7" s="52"/>
      <c r="I7" s="52"/>
      <c r="J7" s="52"/>
      <c r="K7" s="52"/>
      <c r="M7" s="52"/>
    </row>
    <row r="8" spans="1:26" x14ac:dyDescent="0.2">
      <c r="A8" s="60" t="s">
        <v>49</v>
      </c>
      <c r="B8" s="73">
        <f>ИДиР!E13</f>
        <v>0.5</v>
      </c>
      <c r="C8" s="53"/>
      <c r="D8" s="53"/>
      <c r="E8" s="53"/>
      <c r="F8" s="50"/>
      <c r="G8" s="50"/>
      <c r="H8"/>
      <c r="M8" s="52"/>
    </row>
    <row r="9" spans="1:26" x14ac:dyDescent="0.2"/>
    <row r="10" spans="1:26" s="63" customFormat="1" ht="15" x14ac:dyDescent="0.25">
      <c r="A10" s="61" t="s">
        <v>59</v>
      </c>
      <c r="B10" s="62"/>
      <c r="C10" s="194">
        <v>2020</v>
      </c>
      <c r="D10" s="194"/>
      <c r="E10" s="194"/>
      <c r="F10" s="194"/>
      <c r="G10" s="194">
        <f>C10+1</f>
        <v>2021</v>
      </c>
      <c r="H10" s="194"/>
      <c r="I10" s="194"/>
      <c r="J10" s="194"/>
      <c r="K10" s="194">
        <f>G10+1</f>
        <v>2022</v>
      </c>
      <c r="L10" s="194"/>
      <c r="M10" s="194"/>
      <c r="N10" s="194"/>
      <c r="O10" s="194">
        <f>K10+1</f>
        <v>2023</v>
      </c>
      <c r="P10" s="194"/>
      <c r="Q10" s="194"/>
      <c r="R10" s="194"/>
      <c r="S10" s="194">
        <f>O10+1</f>
        <v>2024</v>
      </c>
      <c r="T10" s="194"/>
      <c r="U10" s="194"/>
      <c r="V10" s="194"/>
      <c r="W10" s="194">
        <f>S10+1</f>
        <v>2025</v>
      </c>
      <c r="X10" s="194"/>
      <c r="Y10" s="194"/>
      <c r="Z10" s="194"/>
    </row>
    <row r="11" spans="1:26" s="63" customFormat="1" ht="15" x14ac:dyDescent="0.25">
      <c r="A11" s="64" t="str">
        <f>A1</f>
        <v>Финансовая модель реализации проектов строительства жилья специализированным застройщиком</v>
      </c>
      <c r="B11" s="62"/>
      <c r="C11" s="62" t="s">
        <v>15</v>
      </c>
      <c r="D11" s="62" t="s">
        <v>16</v>
      </c>
      <c r="E11" s="62" t="s">
        <v>17</v>
      </c>
      <c r="F11" s="62" t="s">
        <v>18</v>
      </c>
      <c r="G11" s="62" t="s">
        <v>15</v>
      </c>
      <c r="H11" s="62" t="s">
        <v>16</v>
      </c>
      <c r="I11" s="62" t="s">
        <v>17</v>
      </c>
      <c r="J11" s="62" t="s">
        <v>18</v>
      </c>
      <c r="K11" s="62" t="s">
        <v>15</v>
      </c>
      <c r="L11" s="62" t="s">
        <v>16</v>
      </c>
      <c r="M11" s="62" t="s">
        <v>17</v>
      </c>
      <c r="N11" s="62" t="s">
        <v>18</v>
      </c>
      <c r="O11" s="62" t="s">
        <v>15</v>
      </c>
      <c r="P11" s="62" t="s">
        <v>16</v>
      </c>
      <c r="Q11" s="62" t="s">
        <v>17</v>
      </c>
      <c r="R11" s="62" t="s">
        <v>18</v>
      </c>
      <c r="S11" s="62" t="s">
        <v>15</v>
      </c>
      <c r="T11" s="62" t="s">
        <v>16</v>
      </c>
      <c r="U11" s="62" t="s">
        <v>17</v>
      </c>
      <c r="V11" s="62" t="s">
        <v>18</v>
      </c>
      <c r="W11" s="62" t="s">
        <v>15</v>
      </c>
      <c r="X11" s="62" t="s">
        <v>16</v>
      </c>
      <c r="Y11" s="62" t="s">
        <v>17</v>
      </c>
      <c r="Z11" s="62" t="s">
        <v>18</v>
      </c>
    </row>
    <row r="12" spans="1:26" x14ac:dyDescent="0.2">
      <c r="A12" s="36" t="s">
        <v>52</v>
      </c>
      <c r="B12" s="34"/>
      <c r="C12" s="35"/>
      <c r="D12" s="35"/>
      <c r="E12" s="35"/>
      <c r="F12" s="35"/>
      <c r="G12" s="35"/>
      <c r="H12" s="35"/>
      <c r="I12" s="35"/>
      <c r="J12" s="35" t="s">
        <v>19</v>
      </c>
      <c r="K12" s="35" t="s">
        <v>19</v>
      </c>
      <c r="L12" s="35" t="s">
        <v>19</v>
      </c>
      <c r="M12" s="35" t="s">
        <v>19</v>
      </c>
      <c r="N12" s="35" t="s">
        <v>19</v>
      </c>
      <c r="O12" s="35" t="s">
        <v>19</v>
      </c>
      <c r="P12" s="35" t="s">
        <v>19</v>
      </c>
      <c r="Q12" s="35" t="s">
        <v>53</v>
      </c>
      <c r="R12" s="35" t="s">
        <v>53</v>
      </c>
      <c r="S12" s="35" t="s">
        <v>53</v>
      </c>
      <c r="T12" s="35" t="s">
        <v>53</v>
      </c>
      <c r="U12" s="35"/>
      <c r="V12" s="35"/>
      <c r="W12" s="35"/>
      <c r="X12" s="35"/>
      <c r="Y12" s="11"/>
      <c r="Z12" s="11"/>
    </row>
    <row r="13" spans="1:26" x14ac:dyDescent="0.2">
      <c r="A13" s="36" t="s">
        <v>83</v>
      </c>
      <c r="B13" s="34"/>
      <c r="C13" s="35"/>
      <c r="D13" s="35"/>
      <c r="E13" s="35"/>
      <c r="F13" s="35"/>
      <c r="G13" s="35"/>
      <c r="H13" s="35"/>
      <c r="I13" s="35"/>
      <c r="J13" s="35" t="s">
        <v>54</v>
      </c>
      <c r="K13" s="35" t="s">
        <v>54</v>
      </c>
      <c r="L13" s="35" t="s">
        <v>55</v>
      </c>
      <c r="M13" s="35" t="s">
        <v>55</v>
      </c>
      <c r="N13" s="35" t="s">
        <v>55</v>
      </c>
      <c r="O13" s="35" t="s">
        <v>55</v>
      </c>
      <c r="P13" s="35" t="s">
        <v>55</v>
      </c>
      <c r="Q13" s="35" t="s">
        <v>55</v>
      </c>
      <c r="R13" s="35" t="s">
        <v>55</v>
      </c>
      <c r="S13" s="35" t="s">
        <v>55</v>
      </c>
      <c r="T13" s="35" t="s">
        <v>55</v>
      </c>
      <c r="U13" s="35"/>
      <c r="V13" s="35"/>
      <c r="W13" s="35"/>
      <c r="X13" s="35"/>
      <c r="Y13" s="11"/>
      <c r="Z13" s="11"/>
    </row>
    <row r="14" spans="1:26" x14ac:dyDescent="0.2">
      <c r="A14" s="36" t="s">
        <v>45</v>
      </c>
      <c r="B14" s="51">
        <f>B17/B5</f>
        <v>66.488637598226134</v>
      </c>
      <c r="C14" s="35">
        <f>'Э2 (СЗ)'!C14*(1+ИДиР!B27/2*0)</f>
        <v>57.3</v>
      </c>
      <c r="D14" s="35">
        <f>IF(D12="С",C14*(1+ИДиР!$B$26/4),IF(D12="Э",MAX(C14*(1+ИДиР!$B$27/4),51),MAX(51,C14)))</f>
        <v>57.3</v>
      </c>
      <c r="E14" s="35">
        <f>IF(E12="С",D14*(1+ИДиР!$B$26/4),IF(E12="Э",MAX(D14*(1+ИДиР!$B$27/4),51),MAX(51,D14)))</f>
        <v>57.3</v>
      </c>
      <c r="F14" s="35">
        <f>IF(F12="С",E14*(1+ИДиР!$B$26/4),IF(F12="Э",MAX(E14*(1+ИДиР!$B$27/4),51),MAX(51,E14)))</f>
        <v>57.3</v>
      </c>
      <c r="G14" s="35">
        <f>IF(G12="С",F14*(1+ИДиР!$B$26/4),IF(G12="Э",MAX(F14*(1+ИДиР!$B$27/4),51),MAX(51,F14)))</f>
        <v>57.3</v>
      </c>
      <c r="H14" s="35">
        <f>IF(H12="С",G14*(1+ИДиР!$B$26/4),IF(H12="Э",MAX(G14*(1+ИДиР!$B$27/4),51),MAX(51,G14)))</f>
        <v>57.3</v>
      </c>
      <c r="I14" s="35">
        <f>IF(I12="С",H14*(1+ИДиР!$B$26/4),IF(I12="Э",MAX(H14*(1+ИДиР!$B$27/4),51),MAX(51,H14)))</f>
        <v>57.3</v>
      </c>
      <c r="J14" s="35">
        <f>IF(J12="С",I14*(1+ИДиР!$B$26/4),IF(J12="Э",MAX(I14*(1+ИДиР!$B$27/4),51),MAX(51,I14)))</f>
        <v>58.589249999999993</v>
      </c>
      <c r="K14" s="35">
        <f>IF(K12="С",J14*(1+ИДиР!$B$26/4),IF(K12="Э",MAX(J14*(1+ИДиР!$B$27/4),51),MAX(51,J14)))</f>
        <v>59.907508124999993</v>
      </c>
      <c r="L14" s="35">
        <f>IF(L12="С",K14*(1+ИДиР!$B$26/4),IF(L12="Э",MAX(K14*(1+ИДиР!$B$27/4),51),MAX(51,K14)))</f>
        <v>61.25542705781249</v>
      </c>
      <c r="M14" s="35">
        <f>IF(M12="С",L14*(1+ИДиР!$B$26/4),IF(M12="Э",MAX(L14*(1+ИДиР!$B$27/4),51),MAX(51,L14)))</f>
        <v>62.633674166613268</v>
      </c>
      <c r="N14" s="35">
        <f>IF(N12="С",M14*(1+ИДиР!$B$26/4),IF(N12="Э",MAX(M14*(1+ИДиР!$B$27/4),51),MAX(51,M14)))</f>
        <v>64.042931835362069</v>
      </c>
      <c r="O14" s="35">
        <f>IF(O12="С",N14*(1+ИДиР!$B$26/4),IF(O12="Э",MAX(N14*(1+ИДиР!$B$27/4),51),MAX(51,N14)))</f>
        <v>65.483897801657719</v>
      </c>
      <c r="P14" s="35">
        <f>IF(P12="С",O14*(1+ИДиР!$B$26/4),IF(P12="Э",MAX(O14*(1+ИДиР!$B$27/4),51),MAX(51,O14)))</f>
        <v>66.95728550219502</v>
      </c>
      <c r="Q14" s="35">
        <f>IF(Q12="С",P14*(1+ИДиР!$B$26/4),IF(Q12="Э",MAX(P14*(1+ИДиР!$B$27/4),51),MAX(51,P14)))</f>
        <v>67.961644784727937</v>
      </c>
      <c r="R14" s="35">
        <f>IF(R12="С",Q14*(1+ИДиР!$B$26/4),IF(R12="Э",MAX(Q14*(1+ИДиР!$B$27/4),51),MAX(51,Q14)))</f>
        <v>68.981069456498844</v>
      </c>
      <c r="S14" s="35">
        <f>IF(S12="С",R14*(1+ИДиР!$B$26/4),IF(S12="Э",MAX(R14*(1+ИДиР!$B$27/4),51),MAX(51,R14)))</f>
        <v>70.015785498346318</v>
      </c>
      <c r="T14" s="35">
        <f>IF(T12="С",S14*(1+ИДиР!$B$26/4),IF(T12="Э",MAX(S14*(1+ИДиР!$B$27/4),51),MAX(51,S14)))</f>
        <v>71.0660222808215</v>
      </c>
      <c r="U14" s="35">
        <f>IF(U12="С",T14*(1+ИДиР!$B$26/4),IF(U12="Э",MAX(T14*(1+ИДиР!$B$27/4),51),MAX(51,T14)))</f>
        <v>71.0660222808215</v>
      </c>
      <c r="V14" s="35">
        <f>IF(V12="С",U14*(1+ИДиР!$B$26/4),IF(V12="Э",MAX(U14*(1+ИДиР!$B$27/4),51),MAX(51,U14)))</f>
        <v>71.0660222808215</v>
      </c>
      <c r="W14" s="35">
        <f>Свод!W9</f>
        <v>72.66500778213998</v>
      </c>
      <c r="X14" s="35">
        <f>Свод!X9</f>
        <v>74.299970457238132</v>
      </c>
      <c r="Y14" s="35">
        <f>Свод!Y9</f>
        <v>75.971719792525988</v>
      </c>
      <c r="Z14" s="35">
        <f>Свод!Z9</f>
        <v>77.681083487857819</v>
      </c>
    </row>
    <row r="15" spans="1:26" x14ac:dyDescent="0.2">
      <c r="A15" s="36" t="s">
        <v>158</v>
      </c>
      <c r="B15" s="174">
        <f t="shared" ref="B15:B20" si="0">SUM(C15:Z15)</f>
        <v>13614.75</v>
      </c>
      <c r="C15" s="173">
        <f>IF(C13="Р",$B$5/COUNTIF(13:13,"Р"),0)</f>
        <v>0</v>
      </c>
      <c r="D15" s="173">
        <f t="shared" ref="D15:V15" si="1">IF(D13="Р",$B$5/COUNTIF(13:13,"Р"),0)</f>
        <v>0</v>
      </c>
      <c r="E15" s="173">
        <f t="shared" si="1"/>
        <v>0</v>
      </c>
      <c r="F15" s="173">
        <f t="shared" si="1"/>
        <v>0</v>
      </c>
      <c r="G15" s="173">
        <f t="shared" si="1"/>
        <v>0</v>
      </c>
      <c r="H15" s="173">
        <f t="shared" si="1"/>
        <v>0</v>
      </c>
      <c r="I15" s="173">
        <f t="shared" si="1"/>
        <v>0</v>
      </c>
      <c r="J15" s="173">
        <f t="shared" si="1"/>
        <v>0</v>
      </c>
      <c r="K15" s="173">
        <f t="shared" si="1"/>
        <v>0</v>
      </c>
      <c r="L15" s="173">
        <f t="shared" si="1"/>
        <v>1512.75</v>
      </c>
      <c r="M15" s="173">
        <f t="shared" si="1"/>
        <v>1512.75</v>
      </c>
      <c r="N15" s="173">
        <f t="shared" si="1"/>
        <v>1512.75</v>
      </c>
      <c r="O15" s="173">
        <f t="shared" si="1"/>
        <v>1512.75</v>
      </c>
      <c r="P15" s="173">
        <f t="shared" si="1"/>
        <v>1512.75</v>
      </c>
      <c r="Q15" s="173">
        <f t="shared" si="1"/>
        <v>1512.75</v>
      </c>
      <c r="R15" s="173">
        <f t="shared" si="1"/>
        <v>1512.75</v>
      </c>
      <c r="S15" s="173">
        <f t="shared" si="1"/>
        <v>1512.75</v>
      </c>
      <c r="T15" s="173">
        <f t="shared" si="1"/>
        <v>1512.75</v>
      </c>
      <c r="U15" s="173">
        <f t="shared" si="1"/>
        <v>0</v>
      </c>
      <c r="V15" s="173">
        <f t="shared" si="1"/>
        <v>0</v>
      </c>
      <c r="W15" s="35"/>
      <c r="X15" s="35"/>
      <c r="Y15" s="35"/>
      <c r="Z15" s="35"/>
    </row>
    <row r="16" spans="1:26" s="44" customFormat="1" x14ac:dyDescent="0.2">
      <c r="A16" s="43" t="s">
        <v>12</v>
      </c>
      <c r="B16" s="49">
        <f t="shared" si="0"/>
        <v>932859.89566723327</v>
      </c>
      <c r="C16" s="49">
        <f t="shared" ref="C16:V16" si="2">SUM(C17:C20)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49">
        <f t="shared" si="2"/>
        <v>13816.858463392027</v>
      </c>
      <c r="K16" s="49">
        <f t="shared" si="2"/>
        <v>13816.858463392027</v>
      </c>
      <c r="L16" s="49">
        <f t="shared" si="2"/>
        <v>92664.147281705838</v>
      </c>
      <c r="M16" s="49">
        <f t="shared" si="2"/>
        <v>94749.090595544229</v>
      </c>
      <c r="N16" s="49">
        <f t="shared" si="2"/>
        <v>96880.945133943969</v>
      </c>
      <c r="O16" s="49">
        <f t="shared" si="2"/>
        <v>99060.766399457716</v>
      </c>
      <c r="P16" s="49">
        <f t="shared" si="2"/>
        <v>101289.63364344552</v>
      </c>
      <c r="Q16" s="49">
        <f t="shared" si="2"/>
        <v>102808.97814809719</v>
      </c>
      <c r="R16" s="49">
        <f t="shared" si="2"/>
        <v>104351.11282031862</v>
      </c>
      <c r="S16" s="49">
        <f t="shared" si="2"/>
        <v>105916.37951262339</v>
      </c>
      <c r="T16" s="49">
        <f t="shared" si="2"/>
        <v>107505.12520531272</v>
      </c>
      <c r="U16" s="49">
        <f t="shared" si="2"/>
        <v>0</v>
      </c>
      <c r="V16" s="49">
        <f t="shared" si="2"/>
        <v>0</v>
      </c>
      <c r="W16" s="49">
        <f t="shared" ref="W16:Z16" si="3">SUM(W17:W20)</f>
        <v>0</v>
      </c>
      <c r="X16" s="49">
        <f t="shared" si="3"/>
        <v>0</v>
      </c>
      <c r="Y16" s="49">
        <f t="shared" si="3"/>
        <v>0</v>
      </c>
      <c r="Z16" s="49">
        <f t="shared" si="3"/>
        <v>0</v>
      </c>
    </row>
    <row r="17" spans="1:26" x14ac:dyDescent="0.2">
      <c r="A17" s="9" t="s">
        <v>44</v>
      </c>
      <c r="B17" s="4">
        <f t="shared" si="0"/>
        <v>905226.17874044925</v>
      </c>
      <c r="C17" s="38"/>
      <c r="D17" s="38"/>
      <c r="E17" s="38">
        <f t="shared" ref="E17:Z17" si="4">IF(E13="Р",$B$5*E14/COUNTIF(13:13,"Р"),0)</f>
        <v>0</v>
      </c>
      <c r="F17" s="38">
        <f t="shared" si="4"/>
        <v>0</v>
      </c>
      <c r="G17" s="38">
        <f t="shared" si="4"/>
        <v>0</v>
      </c>
      <c r="H17" s="38">
        <f t="shared" si="4"/>
        <v>0</v>
      </c>
      <c r="I17" s="38">
        <f t="shared" si="4"/>
        <v>0</v>
      </c>
      <c r="J17" s="38">
        <f t="shared" si="4"/>
        <v>0</v>
      </c>
      <c r="K17" s="38">
        <f t="shared" si="4"/>
        <v>0</v>
      </c>
      <c r="L17" s="38">
        <f t="shared" si="4"/>
        <v>92664.147281705838</v>
      </c>
      <c r="M17" s="38">
        <f t="shared" si="4"/>
        <v>94749.090595544229</v>
      </c>
      <c r="N17" s="38">
        <f t="shared" si="4"/>
        <v>96880.945133943969</v>
      </c>
      <c r="O17" s="38">
        <f t="shared" si="4"/>
        <v>99060.766399457716</v>
      </c>
      <c r="P17" s="38">
        <f t="shared" si="4"/>
        <v>101289.63364344552</v>
      </c>
      <c r="Q17" s="38">
        <f t="shared" si="4"/>
        <v>102808.97814809719</v>
      </c>
      <c r="R17" s="38">
        <f t="shared" si="4"/>
        <v>104351.11282031862</v>
      </c>
      <c r="S17" s="38">
        <f t="shared" si="4"/>
        <v>105916.37951262339</v>
      </c>
      <c r="T17" s="38">
        <f t="shared" si="4"/>
        <v>107505.12520531272</v>
      </c>
      <c r="U17" s="38">
        <f t="shared" si="4"/>
        <v>0</v>
      </c>
      <c r="V17" s="38">
        <f t="shared" si="4"/>
        <v>0</v>
      </c>
      <c r="W17" s="38">
        <f t="shared" si="4"/>
        <v>0</v>
      </c>
      <c r="X17" s="38">
        <f t="shared" si="4"/>
        <v>0</v>
      </c>
      <c r="Y17" s="38">
        <f t="shared" si="4"/>
        <v>0</v>
      </c>
      <c r="Z17" s="38">
        <f t="shared" si="4"/>
        <v>0</v>
      </c>
    </row>
    <row r="18" spans="1:26" x14ac:dyDescent="0.2">
      <c r="A18" s="9" t="s">
        <v>39</v>
      </c>
      <c r="B18" s="4">
        <f t="shared" si="0"/>
        <v>0</v>
      </c>
      <c r="C18" s="39">
        <f>B44*ИДиР!$B$22/4</f>
        <v>0</v>
      </c>
      <c r="D18" s="39">
        <f>C44*ИДиР!$B$22/4</f>
        <v>0</v>
      </c>
      <c r="E18" s="39">
        <f>D44*ИДиР!$B$22/4</f>
        <v>0</v>
      </c>
      <c r="F18" s="39">
        <f>E44*ИДиР!$B$22/4</f>
        <v>0</v>
      </c>
      <c r="G18" s="39">
        <f>F44*ИДиР!$B$22/4</f>
        <v>0</v>
      </c>
      <c r="H18" s="39">
        <f>G44*ИДиР!$B$22/4</f>
        <v>0</v>
      </c>
      <c r="I18" s="39">
        <f>H44*ИДиР!$B$22/4</f>
        <v>0</v>
      </c>
      <c r="J18" s="39">
        <f>I44*ИДиР!$B$22/4</f>
        <v>0</v>
      </c>
      <c r="K18" s="39">
        <f>J44*ИДиР!$B$22/4</f>
        <v>0</v>
      </c>
      <c r="L18" s="39">
        <f>K44*ИДиР!$B$22/4</f>
        <v>0</v>
      </c>
      <c r="M18" s="39">
        <f>L44*ИДиР!$B$22/4</f>
        <v>0</v>
      </c>
      <c r="N18" s="39">
        <f>M44*ИДиР!$B$22/4</f>
        <v>0</v>
      </c>
      <c r="O18" s="39">
        <f>N44*ИДиР!$B$22/4</f>
        <v>0</v>
      </c>
      <c r="P18" s="39">
        <f>O44*ИДиР!$B$22/4</f>
        <v>0</v>
      </c>
      <c r="Q18" s="39">
        <f>P44*ИДиР!$B$22/4</f>
        <v>0</v>
      </c>
      <c r="R18" s="39">
        <f>Q44*ИДиР!$B$22/4</f>
        <v>0</v>
      </c>
      <c r="S18" s="39">
        <f>R44*ИДиР!$B$22/4</f>
        <v>0</v>
      </c>
      <c r="T18" s="39">
        <f>S44*ИДиР!$B$22/4</f>
        <v>0</v>
      </c>
      <c r="U18" s="39">
        <f>T44*ИДиР!$B$22/4</f>
        <v>0</v>
      </c>
      <c r="V18" s="39">
        <f>U44*ИДиР!$B$22/4</f>
        <v>0</v>
      </c>
      <c r="W18" s="39">
        <f>V44*ИДиР!$B$22/4</f>
        <v>0</v>
      </c>
      <c r="X18" s="39">
        <f>W44*ИДиР!$B$22/4</f>
        <v>0</v>
      </c>
      <c r="Y18" s="39">
        <f>X44*ИДиР!$B$22/4</f>
        <v>0</v>
      </c>
      <c r="Z18" s="39">
        <f>Y44*ИДиР!$B$22/4</f>
        <v>0</v>
      </c>
    </row>
    <row r="19" spans="1:26" x14ac:dyDescent="0.2">
      <c r="A19" s="9" t="s">
        <v>20</v>
      </c>
      <c r="B19" s="4">
        <f t="shared" si="0"/>
        <v>13912.023065534053</v>
      </c>
      <c r="C19" s="38"/>
      <c r="D19" s="38"/>
      <c r="E19" s="38">
        <f t="shared" ref="E19:F19" si="5">IF(E13="У",-E22-E20,0)</f>
        <v>0</v>
      </c>
      <c r="F19" s="38">
        <f t="shared" si="5"/>
        <v>0</v>
      </c>
      <c r="G19" s="38">
        <f>IF(G13="У",-G22-G20,0)</f>
        <v>0</v>
      </c>
      <c r="H19" s="38">
        <f t="shared" ref="H19:Z19" si="6">IF(H13="У",-H22-H20,0)</f>
        <v>0</v>
      </c>
      <c r="I19" s="38">
        <f t="shared" si="6"/>
        <v>0</v>
      </c>
      <c r="J19" s="38">
        <f t="shared" si="6"/>
        <v>6956.0115327670264</v>
      </c>
      <c r="K19" s="38">
        <f t="shared" si="6"/>
        <v>6956.0115327670264</v>
      </c>
      <c r="L19" s="38">
        <f t="shared" si="6"/>
        <v>0</v>
      </c>
      <c r="M19" s="38">
        <f t="shared" si="6"/>
        <v>0</v>
      </c>
      <c r="N19" s="38">
        <f t="shared" si="6"/>
        <v>0</v>
      </c>
      <c r="O19" s="38">
        <f t="shared" si="6"/>
        <v>0</v>
      </c>
      <c r="P19" s="38">
        <f t="shared" si="6"/>
        <v>0</v>
      </c>
      <c r="Q19" s="38">
        <f t="shared" si="6"/>
        <v>0</v>
      </c>
      <c r="R19" s="38">
        <f t="shared" si="6"/>
        <v>0</v>
      </c>
      <c r="S19" s="38">
        <f t="shared" si="6"/>
        <v>0</v>
      </c>
      <c r="T19" s="38">
        <f t="shared" si="6"/>
        <v>0</v>
      </c>
      <c r="U19" s="38">
        <f t="shared" si="6"/>
        <v>0</v>
      </c>
      <c r="V19" s="38">
        <f t="shared" si="6"/>
        <v>0</v>
      </c>
      <c r="W19" s="38">
        <f t="shared" si="6"/>
        <v>0</v>
      </c>
      <c r="X19" s="38">
        <f t="shared" si="6"/>
        <v>0</v>
      </c>
      <c r="Y19" s="38">
        <f t="shared" si="6"/>
        <v>0</v>
      </c>
      <c r="Z19" s="38">
        <f t="shared" si="6"/>
        <v>0</v>
      </c>
    </row>
    <row r="20" spans="1:26" x14ac:dyDescent="0.2">
      <c r="A20" s="9" t="s">
        <v>21</v>
      </c>
      <c r="B20" s="4">
        <f t="shared" si="0"/>
        <v>13721.693861250002</v>
      </c>
      <c r="C20" s="38"/>
      <c r="D20" s="38"/>
      <c r="E20" s="38">
        <f t="shared" ref="E20:Z20" si="7">IF(E13="У",$B$7*$B$8/COUNTIF(13:13,"У"),0)</f>
        <v>0</v>
      </c>
      <c r="F20" s="38">
        <f t="shared" si="7"/>
        <v>0</v>
      </c>
      <c r="G20" s="38">
        <f t="shared" si="7"/>
        <v>0</v>
      </c>
      <c r="H20" s="38">
        <f t="shared" si="7"/>
        <v>0</v>
      </c>
      <c r="I20" s="38">
        <f t="shared" si="7"/>
        <v>0</v>
      </c>
      <c r="J20" s="38">
        <f t="shared" si="7"/>
        <v>6860.8469306250008</v>
      </c>
      <c r="K20" s="38">
        <f t="shared" si="7"/>
        <v>6860.8469306250008</v>
      </c>
      <c r="L20" s="38">
        <f t="shared" si="7"/>
        <v>0</v>
      </c>
      <c r="M20" s="38">
        <f t="shared" si="7"/>
        <v>0</v>
      </c>
      <c r="N20" s="38">
        <f t="shared" si="7"/>
        <v>0</v>
      </c>
      <c r="O20" s="38">
        <f t="shared" si="7"/>
        <v>0</v>
      </c>
      <c r="P20" s="38">
        <f t="shared" si="7"/>
        <v>0</v>
      </c>
      <c r="Q20" s="38">
        <f t="shared" si="7"/>
        <v>0</v>
      </c>
      <c r="R20" s="38">
        <f t="shared" si="7"/>
        <v>0</v>
      </c>
      <c r="S20" s="38">
        <f t="shared" si="7"/>
        <v>0</v>
      </c>
      <c r="T20" s="38">
        <f t="shared" si="7"/>
        <v>0</v>
      </c>
      <c r="U20" s="38">
        <f t="shared" si="7"/>
        <v>0</v>
      </c>
      <c r="V20" s="38">
        <f t="shared" si="7"/>
        <v>0</v>
      </c>
      <c r="W20" s="38">
        <f t="shared" si="7"/>
        <v>0</v>
      </c>
      <c r="X20" s="38">
        <f t="shared" si="7"/>
        <v>0</v>
      </c>
      <c r="Y20" s="38">
        <f t="shared" si="7"/>
        <v>0</v>
      </c>
      <c r="Z20" s="38">
        <f t="shared" si="7"/>
        <v>0</v>
      </c>
    </row>
    <row r="21" spans="1:26" s="28" customFormat="1" x14ac:dyDescent="0.2">
      <c r="A21" s="29" t="s">
        <v>22</v>
      </c>
      <c r="B21" s="65"/>
      <c r="C21" s="42">
        <f t="shared" ref="C21:V21" si="8">B21+C20+C26</f>
        <v>0</v>
      </c>
      <c r="D21" s="42">
        <f t="shared" si="8"/>
        <v>0</v>
      </c>
      <c r="E21" s="42">
        <f t="shared" si="8"/>
        <v>0</v>
      </c>
      <c r="F21" s="42">
        <f t="shared" si="8"/>
        <v>0</v>
      </c>
      <c r="G21" s="42">
        <f t="shared" si="8"/>
        <v>0</v>
      </c>
      <c r="H21" s="42">
        <f t="shared" si="8"/>
        <v>0</v>
      </c>
      <c r="I21" s="42">
        <f t="shared" si="8"/>
        <v>0</v>
      </c>
      <c r="J21" s="42">
        <f t="shared" si="8"/>
        <v>6860.8469306250008</v>
      </c>
      <c r="K21" s="42">
        <f t="shared" si="8"/>
        <v>13721.693861250002</v>
      </c>
      <c r="L21" s="42">
        <f t="shared" si="8"/>
        <v>13721.693861250002</v>
      </c>
      <c r="M21" s="42">
        <f t="shared" si="8"/>
        <v>13721.693861250002</v>
      </c>
      <c r="N21" s="42">
        <f t="shared" si="8"/>
        <v>13721.693861250002</v>
      </c>
      <c r="O21" s="42">
        <f t="shared" si="8"/>
        <v>13721.693861250002</v>
      </c>
      <c r="P21" s="42">
        <f t="shared" si="8"/>
        <v>13721.693861250002</v>
      </c>
      <c r="Q21" s="42">
        <f t="shared" si="8"/>
        <v>13721.693861250002</v>
      </c>
      <c r="R21" s="42">
        <f t="shared" si="8"/>
        <v>0</v>
      </c>
      <c r="S21" s="42">
        <f t="shared" si="8"/>
        <v>0</v>
      </c>
      <c r="T21" s="42">
        <f t="shared" si="8"/>
        <v>0</v>
      </c>
      <c r="U21" s="42">
        <f t="shared" si="8"/>
        <v>0</v>
      </c>
      <c r="V21" s="42">
        <f t="shared" si="8"/>
        <v>0</v>
      </c>
      <c r="W21" s="42">
        <f t="shared" ref="W21:Z21" si="9">V21+W20+W26</f>
        <v>0</v>
      </c>
      <c r="X21" s="42">
        <f t="shared" si="9"/>
        <v>0</v>
      </c>
      <c r="Y21" s="42">
        <f t="shared" si="9"/>
        <v>0</v>
      </c>
      <c r="Z21" s="42">
        <f t="shared" si="9"/>
        <v>0</v>
      </c>
    </row>
    <row r="22" spans="1:26" s="44" customFormat="1" x14ac:dyDescent="0.2">
      <c r="A22" s="43" t="s">
        <v>13</v>
      </c>
      <c r="B22" s="49">
        <f t="shared" ref="B22:B29" si="10">SUM(C22:Z22)</f>
        <v>-621542.38363911805</v>
      </c>
      <c r="C22" s="49">
        <f t="shared" ref="C22:V22" si="11">SUM(C23:C29)</f>
        <v>0</v>
      </c>
      <c r="D22" s="49">
        <f t="shared" si="11"/>
        <v>0</v>
      </c>
      <c r="E22" s="49">
        <f t="shared" si="11"/>
        <v>0</v>
      </c>
      <c r="F22" s="49">
        <f t="shared" si="11"/>
        <v>0</v>
      </c>
      <c r="G22" s="49">
        <f t="shared" si="11"/>
        <v>0</v>
      </c>
      <c r="H22" s="49">
        <f t="shared" si="11"/>
        <v>0</v>
      </c>
      <c r="I22" s="49">
        <f t="shared" si="11"/>
        <v>0</v>
      </c>
      <c r="J22" s="49">
        <f t="shared" si="11"/>
        <v>-13816.858463392027</v>
      </c>
      <c r="K22" s="49">
        <f t="shared" si="11"/>
        <v>-13816.858463392027</v>
      </c>
      <c r="L22" s="49">
        <f t="shared" si="11"/>
        <v>-113118.49966814352</v>
      </c>
      <c r="M22" s="49">
        <f t="shared" si="11"/>
        <v>-109615.61551782755</v>
      </c>
      <c r="N22" s="49">
        <f t="shared" si="11"/>
        <v>-111214.27936409693</v>
      </c>
      <c r="O22" s="49">
        <f t="shared" si="11"/>
        <v>-112827.22095933532</v>
      </c>
      <c r="P22" s="49">
        <f t="shared" si="11"/>
        <v>-114454.21924820523</v>
      </c>
      <c r="Q22" s="49">
        <f t="shared" si="11"/>
        <v>-10028.868143725944</v>
      </c>
      <c r="R22" s="49">
        <f t="shared" si="11"/>
        <v>-18381.533716640752</v>
      </c>
      <c r="S22" s="49">
        <f t="shared" si="11"/>
        <v>-2118.3275902524679</v>
      </c>
      <c r="T22" s="49">
        <f t="shared" si="11"/>
        <v>-2150.1025041062544</v>
      </c>
      <c r="U22" s="49">
        <f t="shared" si="11"/>
        <v>0</v>
      </c>
      <c r="V22" s="49">
        <f t="shared" si="11"/>
        <v>0</v>
      </c>
      <c r="W22" s="49">
        <f t="shared" ref="W22:Z22" si="12">SUM(W23:W27)</f>
        <v>0</v>
      </c>
      <c r="X22" s="49">
        <f t="shared" si="12"/>
        <v>0</v>
      </c>
      <c r="Y22" s="49">
        <f t="shared" si="12"/>
        <v>0</v>
      </c>
      <c r="Z22" s="49">
        <f t="shared" si="12"/>
        <v>0</v>
      </c>
    </row>
    <row r="23" spans="1:26" x14ac:dyDescent="0.2">
      <c r="A23" s="9" t="s">
        <v>23</v>
      </c>
      <c r="B23" s="4">
        <f t="shared" si="10"/>
        <v>-548867.75445000001</v>
      </c>
      <c r="C23" s="38"/>
      <c r="D23" s="38"/>
      <c r="E23" s="38">
        <f t="shared" ref="E23:V23" si="13">IF(E12="С",IF(E13="У",-$B$7/COUNTIF(13:13,"У"),-($B$6-$B$7)/(COUNTIF(12:12,"С")-COUNTIF(13:13,"У"))),0)</f>
        <v>0</v>
      </c>
      <c r="F23" s="38">
        <f t="shared" si="13"/>
        <v>0</v>
      </c>
      <c r="G23" s="38">
        <f t="shared" si="13"/>
        <v>0</v>
      </c>
      <c r="H23" s="38">
        <f t="shared" si="13"/>
        <v>0</v>
      </c>
      <c r="I23" s="38">
        <f>IF(I12="С",IF(I13="У",-$B$7/COUNTIF(13:13,"У"),-($B$6-$B$7)/(COUNTIF(12:12,"С")-COUNTIF(13:13,"У"))),0)</f>
        <v>0</v>
      </c>
      <c r="J23" s="38">
        <f t="shared" si="13"/>
        <v>-13721.693861250002</v>
      </c>
      <c r="K23" s="38">
        <f t="shared" si="13"/>
        <v>-13721.693861250002</v>
      </c>
      <c r="L23" s="38">
        <f t="shared" si="13"/>
        <v>-104284.8733455</v>
      </c>
      <c r="M23" s="38">
        <f t="shared" si="13"/>
        <v>-104284.8733455</v>
      </c>
      <c r="N23" s="38">
        <f t="shared" si="13"/>
        <v>-104284.8733455</v>
      </c>
      <c r="O23" s="38">
        <f t="shared" si="13"/>
        <v>-104284.8733455</v>
      </c>
      <c r="P23" s="38">
        <f t="shared" si="13"/>
        <v>-104284.8733455</v>
      </c>
      <c r="Q23" s="38">
        <f t="shared" si="13"/>
        <v>0</v>
      </c>
      <c r="R23" s="38">
        <f t="shared" si="13"/>
        <v>0</v>
      </c>
      <c r="S23" s="38">
        <f t="shared" si="13"/>
        <v>0</v>
      </c>
      <c r="T23" s="38">
        <f t="shared" si="13"/>
        <v>0</v>
      </c>
      <c r="U23" s="38">
        <f t="shared" si="13"/>
        <v>0</v>
      </c>
      <c r="V23" s="38">
        <f t="shared" si="13"/>
        <v>0</v>
      </c>
      <c r="W23" s="38">
        <f t="shared" ref="W23:Z23" si="14">IF(W12="С",IF(W13="У",-$B$7/COUNTIF(13:13,"У"),-($B$6-$B$7)/(COUNTIF(12:12,"С")-COUNTIF(13:13,"У"))),0)</f>
        <v>0</v>
      </c>
      <c r="X23" s="38">
        <f t="shared" si="14"/>
        <v>0</v>
      </c>
      <c r="Y23" s="38">
        <f t="shared" si="14"/>
        <v>0</v>
      </c>
      <c r="Z23" s="38">
        <f t="shared" si="14"/>
        <v>0</v>
      </c>
    </row>
    <row r="24" spans="1:26" x14ac:dyDescent="0.2">
      <c r="A24" s="9" t="s">
        <v>145</v>
      </c>
      <c r="B24" s="4">
        <f>SUM(C24:Z24)</f>
        <v>-21911.10766048999</v>
      </c>
      <c r="C24" s="38">
        <f t="shared" ref="C24:V24" si="15">-C17*2%+C23*$R$1</f>
        <v>0</v>
      </c>
      <c r="D24" s="38">
        <f t="shared" si="15"/>
        <v>0</v>
      </c>
      <c r="E24" s="38">
        <f t="shared" si="15"/>
        <v>0</v>
      </c>
      <c r="F24" s="38">
        <f t="shared" si="15"/>
        <v>0</v>
      </c>
      <c r="G24" s="38">
        <f t="shared" si="15"/>
        <v>0</v>
      </c>
      <c r="H24" s="38">
        <f t="shared" si="15"/>
        <v>0</v>
      </c>
      <c r="I24" s="38">
        <f t="shared" si="15"/>
        <v>0</v>
      </c>
      <c r="J24" s="38">
        <f t="shared" si="15"/>
        <v>-95.164602142025132</v>
      </c>
      <c r="K24" s="38">
        <f t="shared" si="15"/>
        <v>-95.164602142025132</v>
      </c>
      <c r="L24" s="38">
        <f t="shared" si="15"/>
        <v>-2576.5339219135076</v>
      </c>
      <c r="M24" s="38">
        <f t="shared" si="15"/>
        <v>-2618.2327881902756</v>
      </c>
      <c r="N24" s="38">
        <f t="shared" si="15"/>
        <v>-2660.8698789582704</v>
      </c>
      <c r="O24" s="38">
        <f t="shared" si="15"/>
        <v>-2704.4663042685452</v>
      </c>
      <c r="P24" s="38">
        <f t="shared" si="15"/>
        <v>-2749.0436491483015</v>
      </c>
      <c r="Q24" s="38">
        <f t="shared" si="15"/>
        <v>-2056.1795629619437</v>
      </c>
      <c r="R24" s="38">
        <f t="shared" si="15"/>
        <v>-2087.0222564063724</v>
      </c>
      <c r="S24" s="38">
        <f t="shared" si="15"/>
        <v>-2118.3275902524679</v>
      </c>
      <c r="T24" s="38">
        <f t="shared" si="15"/>
        <v>-2150.1025041062544</v>
      </c>
      <c r="U24" s="38">
        <f t="shared" si="15"/>
        <v>0</v>
      </c>
      <c r="V24" s="38">
        <f t="shared" si="15"/>
        <v>0</v>
      </c>
      <c r="W24" s="38">
        <f>-W17*2%+W23*0.5933%</f>
        <v>0</v>
      </c>
      <c r="X24" s="38">
        <f>-X17*2%+X23*0.5933%</f>
        <v>0</v>
      </c>
      <c r="Y24" s="38">
        <f>-Y17*2%+Y23*0.5933%</f>
        <v>0</v>
      </c>
      <c r="Z24" s="38">
        <f>-Z17*2%+Z23*0.5933%</f>
        <v>0</v>
      </c>
    </row>
    <row r="25" spans="1:26" x14ac:dyDescent="0.2">
      <c r="A25" s="9" t="s">
        <v>46</v>
      </c>
      <c r="B25" s="4">
        <f t="shared" si="10"/>
        <v>-24040.522733843627</v>
      </c>
      <c r="C25" s="126">
        <f t="shared" ref="C25:G25" si="16">-B37*C39/4</f>
        <v>0</v>
      </c>
      <c r="D25" s="126">
        <f t="shared" si="16"/>
        <v>0</v>
      </c>
      <c r="E25" s="126">
        <f t="shared" si="16"/>
        <v>0</v>
      </c>
      <c r="F25" s="126">
        <f t="shared" si="16"/>
        <v>0</v>
      </c>
      <c r="G25" s="126">
        <f t="shared" si="16"/>
        <v>0</v>
      </c>
      <c r="H25" s="126">
        <f>-G37*H39/4</f>
        <v>0</v>
      </c>
      <c r="I25" s="126">
        <f t="shared" ref="I25:V25" si="17">-H37*I39/4</f>
        <v>0</v>
      </c>
      <c r="J25" s="126">
        <f t="shared" si="17"/>
        <v>0</v>
      </c>
      <c r="K25" s="126">
        <f t="shared" si="17"/>
        <v>0</v>
      </c>
      <c r="L25" s="126">
        <f t="shared" si="17"/>
        <v>0</v>
      </c>
      <c r="M25" s="126">
        <f t="shared" si="17"/>
        <v>-1669.660650682265</v>
      </c>
      <c r="N25" s="126">
        <f t="shared" si="17"/>
        <v>-3225.6874061836511</v>
      </c>
      <c r="O25" s="126">
        <f t="shared" si="17"/>
        <v>-4795.0325761117747</v>
      </c>
      <c r="P25" s="126">
        <f t="shared" si="17"/>
        <v>-6377.4535201019371</v>
      </c>
      <c r="Q25" s="126">
        <f t="shared" si="17"/>
        <v>-7972.6885807640001</v>
      </c>
      <c r="R25" s="126">
        <f t="shared" si="17"/>
        <v>0</v>
      </c>
      <c r="S25" s="126">
        <f t="shared" si="17"/>
        <v>0</v>
      </c>
      <c r="T25" s="126">
        <f t="shared" si="17"/>
        <v>0</v>
      </c>
      <c r="U25" s="126">
        <f t="shared" si="17"/>
        <v>0</v>
      </c>
      <c r="V25" s="126">
        <f t="shared" si="17"/>
        <v>0</v>
      </c>
      <c r="W25" s="38">
        <f>-V38*ИДиР!$B$20/4-(V37-V38)*ИДиР!$B$21/4</f>
        <v>0</v>
      </c>
      <c r="X25" s="38">
        <f>-W38*ИДиР!$B$20/4-(W37-W38)*ИДиР!$B$21/4</f>
        <v>0</v>
      </c>
      <c r="Y25" s="38">
        <f>-X38*ИДиР!$B$20/4-(X37-X38)*ИДиР!$B$21/4</f>
        <v>0</v>
      </c>
      <c r="Z25" s="38">
        <f>-Y38*ИДиР!$B$20/4-(Y37-Y38)*ИДиР!$B$21/4</f>
        <v>0</v>
      </c>
    </row>
    <row r="26" spans="1:26" x14ac:dyDescent="0.2">
      <c r="A26" s="9" t="s">
        <v>24</v>
      </c>
      <c r="B26" s="4">
        <f t="shared" si="10"/>
        <v>-13721.693861250002</v>
      </c>
      <c r="C26" s="38"/>
      <c r="D26" s="38"/>
      <c r="E26" s="38">
        <f t="shared" ref="E26:Z26" si="18">IF(AND(E12="Э",D21&gt;0,D37=0),-$B$20,0)</f>
        <v>0</v>
      </c>
      <c r="F26" s="38">
        <f t="shared" si="18"/>
        <v>0</v>
      </c>
      <c r="G26" s="38">
        <f t="shared" si="18"/>
        <v>0</v>
      </c>
      <c r="H26" s="38">
        <f t="shared" si="18"/>
        <v>0</v>
      </c>
      <c r="I26" s="38">
        <f t="shared" si="18"/>
        <v>0</v>
      </c>
      <c r="J26" s="38">
        <f t="shared" si="18"/>
        <v>0</v>
      </c>
      <c r="K26" s="38">
        <f t="shared" si="18"/>
        <v>0</v>
      </c>
      <c r="L26" s="38">
        <f t="shared" si="18"/>
        <v>0</v>
      </c>
      <c r="M26" s="38">
        <f t="shared" si="18"/>
        <v>0</v>
      </c>
      <c r="N26" s="38">
        <f t="shared" si="18"/>
        <v>0</v>
      </c>
      <c r="O26" s="38">
        <f t="shared" si="18"/>
        <v>0</v>
      </c>
      <c r="P26" s="38">
        <f t="shared" si="18"/>
        <v>0</v>
      </c>
      <c r="Q26" s="38">
        <f t="shared" si="18"/>
        <v>0</v>
      </c>
      <c r="R26" s="38">
        <f t="shared" si="18"/>
        <v>-13721.693861250002</v>
      </c>
      <c r="S26" s="38">
        <f t="shared" si="18"/>
        <v>0</v>
      </c>
      <c r="T26" s="38">
        <f t="shared" si="18"/>
        <v>0</v>
      </c>
      <c r="U26" s="38">
        <f t="shared" si="18"/>
        <v>0</v>
      </c>
      <c r="V26" s="38">
        <f t="shared" si="18"/>
        <v>0</v>
      </c>
      <c r="W26" s="38">
        <f t="shared" si="18"/>
        <v>0</v>
      </c>
      <c r="X26" s="38">
        <f t="shared" si="18"/>
        <v>0</v>
      </c>
      <c r="Y26" s="38">
        <f t="shared" si="18"/>
        <v>0</v>
      </c>
      <c r="Z26" s="38">
        <f t="shared" si="18"/>
        <v>0</v>
      </c>
    </row>
    <row r="27" spans="1:26" x14ac:dyDescent="0.2">
      <c r="A27" s="9" t="s">
        <v>25</v>
      </c>
      <c r="B27" s="4">
        <f t="shared" si="10"/>
        <v>-2572.8175989843762</v>
      </c>
      <c r="C27" s="38"/>
      <c r="D27" s="38"/>
      <c r="E27" s="38">
        <f>IF(E26&lt;0,-SUM($C21:E21)*7.5%*1.25/4,0)</f>
        <v>0</v>
      </c>
      <c r="F27" s="38">
        <f>IF(F26&lt;0,-SUM($C21:F21)*7.5%*1.25/4,0)</f>
        <v>0</v>
      </c>
      <c r="G27" s="38">
        <f>IF(G26&lt;0,-SUM($C21:G21)*ИДиР!$B$19/4,0)</f>
        <v>0</v>
      </c>
      <c r="H27" s="38">
        <f>IF(H26&lt;0,-SUM($C21:H21)*ИДиР!$B$19/4,0)</f>
        <v>0</v>
      </c>
      <c r="I27" s="38">
        <f>IF(I26&lt;0,-SUM($C21:I21)*ИДиР!$B$19/4,0)</f>
        <v>0</v>
      </c>
      <c r="J27" s="38">
        <f>IF(J26&lt;0,-SUM($C21:J21)*ИДиР!$B$19/4,0)</f>
        <v>0</v>
      </c>
      <c r="K27" s="38">
        <f>IF(K26&lt;0,-SUM($C21:K21)*ИДиР!$B$19/4,0)</f>
        <v>0</v>
      </c>
      <c r="L27" s="38">
        <f>IF(L26&lt;0,-SUM($C21:L21)*ИДиР!$B$19/4,0)</f>
        <v>0</v>
      </c>
      <c r="M27" s="38">
        <f>IF(M26&lt;0,-SUM($C21:M21)*ИДиР!$B$19/4,0)</f>
        <v>0</v>
      </c>
      <c r="N27" s="38">
        <f>IF(N26&lt;0,-SUM($C21:N21)*ИДиР!$B$19/4,0)</f>
        <v>0</v>
      </c>
      <c r="O27" s="38">
        <f>IF(O26&lt;0,-SUM($C21:O21)*ИДиР!$B$19/4,0)</f>
        <v>0</v>
      </c>
      <c r="P27" s="38">
        <f>IF(P26&lt;0,-SUM($C21:P21)*ИДиР!$B$19/4,0)</f>
        <v>0</v>
      </c>
      <c r="Q27" s="38">
        <f>IF(Q26&lt;0,-SUM($C21:Q21)*ИДиР!$B$19/4,0)</f>
        <v>0</v>
      </c>
      <c r="R27" s="38">
        <f>IF(R26&lt;0,-SUM($C21:R21)*ИДиР!$B$19/4,0)</f>
        <v>-2572.8175989843762</v>
      </c>
      <c r="S27" s="38">
        <f>IF(S26&lt;0,-SUM($C21:S21)*ИДиР!$B$19/4,0)</f>
        <v>0</v>
      </c>
      <c r="T27" s="38">
        <f>IF(T26&lt;0,-SUM($C21:T21)*ИДиР!$B$19/4,0)</f>
        <v>0</v>
      </c>
      <c r="U27" s="38">
        <f>IF(U26&lt;0,-SUM($C21:U21)*ИДиР!$B$19/4,0)</f>
        <v>0</v>
      </c>
      <c r="V27" s="38">
        <f>IF(V26&lt;0,-SUM($C21:V21)*ИДиР!$B$19/4,0)</f>
        <v>0</v>
      </c>
      <c r="W27" s="38">
        <f>IF(W26&lt;0,-SUM($C21:W21)*ИДиР!$B$19/4,0)</f>
        <v>0</v>
      </c>
      <c r="X27" s="38">
        <f>IF(X26&lt;0,-SUM($C21:X21)*ИДиР!$B$19/4,0)</f>
        <v>0</v>
      </c>
      <c r="Y27" s="38">
        <f>IF(Y26&lt;0,-SUM($C21:Y21)*ИДиР!$B$19/4,0)</f>
        <v>0</v>
      </c>
      <c r="Z27" s="38">
        <f>IF(Z26&lt;0,-SUM($C21:Z21)*ИДиР!$B$19/4,0)</f>
        <v>0</v>
      </c>
    </row>
    <row r="28" spans="1:26" x14ac:dyDescent="0.2">
      <c r="A28" s="9" t="s">
        <v>126</v>
      </c>
      <c r="B28" s="4">
        <f t="shared" si="10"/>
        <v>-5214.243667275</v>
      </c>
      <c r="C28" s="38"/>
      <c r="D28" s="38">
        <f t="shared" ref="D28:V28" si="19">IF(D13="Р",IF(AND(D13="Р",D12="С"),D23*1%,0),0)</f>
        <v>0</v>
      </c>
      <c r="E28" s="38">
        <f t="shared" si="19"/>
        <v>0</v>
      </c>
      <c r="F28" s="38">
        <f t="shared" si="19"/>
        <v>0</v>
      </c>
      <c r="G28" s="38">
        <f t="shared" si="19"/>
        <v>0</v>
      </c>
      <c r="H28" s="38">
        <f t="shared" si="19"/>
        <v>0</v>
      </c>
      <c r="I28" s="38">
        <f t="shared" si="19"/>
        <v>0</v>
      </c>
      <c r="J28" s="38">
        <f t="shared" si="19"/>
        <v>0</v>
      </c>
      <c r="K28" s="38">
        <f t="shared" si="19"/>
        <v>0</v>
      </c>
      <c r="L28" s="38">
        <f t="shared" si="19"/>
        <v>-1042.848733455</v>
      </c>
      <c r="M28" s="38">
        <f t="shared" si="19"/>
        <v>-1042.848733455</v>
      </c>
      <c r="N28" s="38">
        <f t="shared" si="19"/>
        <v>-1042.848733455</v>
      </c>
      <c r="O28" s="38">
        <f t="shared" si="19"/>
        <v>-1042.848733455</v>
      </c>
      <c r="P28" s="38">
        <f t="shared" si="19"/>
        <v>-1042.848733455</v>
      </c>
      <c r="Q28" s="38">
        <f t="shared" si="19"/>
        <v>0</v>
      </c>
      <c r="R28" s="38">
        <f t="shared" si="19"/>
        <v>0</v>
      </c>
      <c r="S28" s="38">
        <f t="shared" si="19"/>
        <v>0</v>
      </c>
      <c r="T28" s="38">
        <f t="shared" si="19"/>
        <v>0</v>
      </c>
      <c r="U28" s="38">
        <f t="shared" si="19"/>
        <v>0</v>
      </c>
      <c r="V28" s="38">
        <f t="shared" si="19"/>
        <v>0</v>
      </c>
      <c r="W28" s="38"/>
      <c r="X28" s="38"/>
      <c r="Y28" s="38"/>
      <c r="Z28" s="38"/>
    </row>
    <row r="29" spans="1:26" x14ac:dyDescent="0.2">
      <c r="A29" s="9" t="s">
        <v>125</v>
      </c>
      <c r="B29" s="4">
        <f t="shared" si="10"/>
        <v>-5214.243667275</v>
      </c>
      <c r="C29" s="38"/>
      <c r="D29" s="38">
        <f>IF(D13="Р",-(IF(C44+D16+SUM(D23:D28)&lt;0,($B$6-$B$7)*1%+SUM($C$29:C29),0)),0)</f>
        <v>0</v>
      </c>
      <c r="E29" s="38">
        <f>IF(E13="Р",-(IF(D44+E16+SUM(E23:E28)&lt;0,($B$6-$B$7)*1%+SUM($C$29:D29),0)),0)</f>
        <v>0</v>
      </c>
      <c r="F29" s="38">
        <f>IF(F13="Р",-(IF(E44+F16+SUM(F23:F28)&lt;0,($B$6-$B$7)*1%+SUM($C$29:E29),0)),0)</f>
        <v>0</v>
      </c>
      <c r="G29" s="38">
        <f>IF(G13="Р",-(IF(F44+G16+SUM(G23:G28)&lt;0,($B$6-$B$7)*1%+SUM($C$29:F29),0)),0)</f>
        <v>0</v>
      </c>
      <c r="H29" s="38">
        <f>IF(H13="Р",-(IF(G44+H16+SUM(H23:H28)&lt;0,($B$6-$B$7)*1%+SUM($C$29:G29),0)),0)</f>
        <v>0</v>
      </c>
      <c r="I29" s="38">
        <f>IF(I13="Р",-(IF(H44+I16+SUM(I23:I28)&lt;0,($B$6-$B$7)*1%+SUM($C$29:H29),0)),0)</f>
        <v>0</v>
      </c>
      <c r="J29" s="38">
        <f>IF(J13="Р",-(IF(I44+J16+SUM(J23:J28)&lt;0,($B$6-$B$7)*1%+SUM($C$29:I29),0)),0)</f>
        <v>0</v>
      </c>
      <c r="K29" s="38">
        <f>IF(K13="Р",-(IF(J44+K16+SUM(K23:K28)&lt;0,($B$6-$B$7)*1%+SUM($C$29:J29),0)),0)</f>
        <v>0</v>
      </c>
      <c r="L29" s="38">
        <f>IF(L13="Р",-(IF(K44+L16+SUM(L23:L28)&lt;0,($B$6-$B$7)*1%+SUM($C$29:K29),0)),0)</f>
        <v>-5214.243667275</v>
      </c>
      <c r="M29" s="38">
        <f>IF(M13="Р",-(IF(L44+M16+SUM(M23:M28)&lt;0,($B$6-$B$7)*1%+SUM($C$29:L29),0)),0)</f>
        <v>0</v>
      </c>
      <c r="N29" s="38">
        <f>IF(N13="Р",-(IF(M44+N16+SUM(N23:N28)&lt;0,($B$6-$B$7)*1%+SUM($C$29:M29),0)),0)</f>
        <v>0</v>
      </c>
      <c r="O29" s="38">
        <f>IF(O13="Р",-(IF(N44+O16+SUM(O23:O28)&lt;0,($B$6-$B$7)*1%+SUM($C$29:N29),0)),0)</f>
        <v>0</v>
      </c>
      <c r="P29" s="38">
        <f>IF(P13="Р",-(IF(O44+P16+SUM(P23:P28)&lt;0,($B$6-$B$7)*1%+SUM($C$29:O29),0)),0)</f>
        <v>0</v>
      </c>
      <c r="Q29" s="38">
        <f>IF(Q13="Р",-(IF(P44+Q16+SUM(Q23:Q28)&lt;0,($B$6-$B$7)*1%+SUM($C$29:P29),0)),0)</f>
        <v>0</v>
      </c>
      <c r="R29" s="38">
        <f>IF(R13="Р",-(IF(Q44+R16+SUM(R23:R28)&lt;0,($B$6-$B$7)*1%+SUM($C$29:Q29),0)),0)</f>
        <v>0</v>
      </c>
      <c r="S29" s="38">
        <f>IF(S13="Р",-(IF(R44+S16+SUM(S23:S28)&lt;0,($B$6-$B$7)*1%+SUM($C$29:R29),0)),0)</f>
        <v>0</v>
      </c>
      <c r="T29" s="38">
        <f>IF(T13="Р",-(IF(S44+T16+SUM(T23:T28)&lt;0,($B$6-$B$7)*1%+SUM($C$29:S29),0)),0)</f>
        <v>0</v>
      </c>
      <c r="U29" s="38">
        <f>IF(U13="Р",-(IF(T44+U16+SUM(U23:U28)&lt;0,($B$6-$B$7)*1%+SUM($C$29:T29),0)),0)</f>
        <v>0</v>
      </c>
      <c r="V29" s="38">
        <f>IF(V13="Р",-(IF(U44+V16+SUM(V23:V28)&lt;0,($B$6-$B$7)*1%+SUM($C$29:U29),0)),0)</f>
        <v>0</v>
      </c>
      <c r="W29" s="38"/>
      <c r="X29" s="38"/>
      <c r="Y29" s="38"/>
      <c r="Z29" s="38"/>
    </row>
    <row r="30" spans="1:26" s="44" customFormat="1" x14ac:dyDescent="0.2">
      <c r="A30" s="43" t="s">
        <v>41</v>
      </c>
      <c r="B30" s="49"/>
      <c r="C30" s="49">
        <f t="shared" ref="C30:Z30" si="20">B44+C16+C22</f>
        <v>0</v>
      </c>
      <c r="D30" s="49">
        <f t="shared" si="20"/>
        <v>0</v>
      </c>
      <c r="E30" s="49">
        <f t="shared" si="20"/>
        <v>0</v>
      </c>
      <c r="F30" s="49">
        <f t="shared" si="20"/>
        <v>0</v>
      </c>
      <c r="G30" s="49">
        <f t="shared" si="20"/>
        <v>0</v>
      </c>
      <c r="H30" s="49">
        <f t="shared" si="20"/>
        <v>0</v>
      </c>
      <c r="I30" s="49">
        <f t="shared" si="20"/>
        <v>0</v>
      </c>
      <c r="J30" s="49">
        <f t="shared" si="20"/>
        <v>0</v>
      </c>
      <c r="K30" s="49">
        <f t="shared" si="20"/>
        <v>0</v>
      </c>
      <c r="L30" s="49">
        <f t="shared" si="20"/>
        <v>-20454.352386437677</v>
      </c>
      <c r="M30" s="49">
        <f t="shared" si="20"/>
        <v>-14866.524922283323</v>
      </c>
      <c r="N30" s="49">
        <f t="shared" si="20"/>
        <v>-14333.334230152963</v>
      </c>
      <c r="O30" s="49">
        <f t="shared" si="20"/>
        <v>-13766.454559877602</v>
      </c>
      <c r="P30" s="49">
        <f t="shared" si="20"/>
        <v>-13164.585604759719</v>
      </c>
      <c r="Q30" s="49">
        <f t="shared" si="20"/>
        <v>92780.110004371236</v>
      </c>
      <c r="R30" s="49">
        <f t="shared" si="20"/>
        <v>85969.579103677868</v>
      </c>
      <c r="S30" s="49">
        <f t="shared" si="20"/>
        <v>103798.05192237093</v>
      </c>
      <c r="T30" s="49">
        <f t="shared" si="20"/>
        <v>105355.02270120647</v>
      </c>
      <c r="U30" s="49">
        <f t="shared" si="20"/>
        <v>0</v>
      </c>
      <c r="V30" s="49">
        <f t="shared" si="20"/>
        <v>0</v>
      </c>
      <c r="W30" s="49">
        <f t="shared" si="20"/>
        <v>0</v>
      </c>
      <c r="X30" s="49">
        <f t="shared" si="20"/>
        <v>0</v>
      </c>
      <c r="Y30" s="49">
        <f t="shared" si="20"/>
        <v>0</v>
      </c>
      <c r="Z30" s="49">
        <f t="shared" si="20"/>
        <v>0</v>
      </c>
    </row>
    <row r="31" spans="1:26" x14ac:dyDescent="0.2">
      <c r="A31" s="9" t="s">
        <v>61</v>
      </c>
      <c r="B31" s="4">
        <f>SUM(C31:Z31)</f>
        <v>-484644.58305409725</v>
      </c>
      <c r="C31" s="38">
        <f t="shared" ref="C31:Z31" si="21">IF(C12="С",-C17,0)</f>
        <v>0</v>
      </c>
      <c r="D31" s="38">
        <f t="shared" si="21"/>
        <v>0</v>
      </c>
      <c r="E31" s="38">
        <f t="shared" si="21"/>
        <v>0</v>
      </c>
      <c r="F31" s="38">
        <f t="shared" si="21"/>
        <v>0</v>
      </c>
      <c r="G31" s="38">
        <f t="shared" si="21"/>
        <v>0</v>
      </c>
      <c r="H31" s="38">
        <f t="shared" si="21"/>
        <v>0</v>
      </c>
      <c r="I31" s="38">
        <f t="shared" si="21"/>
        <v>0</v>
      </c>
      <c r="J31" s="38">
        <f t="shared" si="21"/>
        <v>0</v>
      </c>
      <c r="K31" s="38">
        <f t="shared" si="21"/>
        <v>0</v>
      </c>
      <c r="L31" s="38">
        <f t="shared" si="21"/>
        <v>-92664.147281705838</v>
      </c>
      <c r="M31" s="38">
        <f t="shared" si="21"/>
        <v>-94749.090595544229</v>
      </c>
      <c r="N31" s="38">
        <f t="shared" si="21"/>
        <v>-96880.945133943969</v>
      </c>
      <c r="O31" s="38">
        <f t="shared" si="21"/>
        <v>-99060.766399457716</v>
      </c>
      <c r="P31" s="38">
        <f t="shared" si="21"/>
        <v>-101289.63364344552</v>
      </c>
      <c r="Q31" s="38">
        <f t="shared" si="21"/>
        <v>0</v>
      </c>
      <c r="R31" s="38">
        <f t="shared" si="21"/>
        <v>0</v>
      </c>
      <c r="S31" s="38">
        <f t="shared" si="21"/>
        <v>0</v>
      </c>
      <c r="T31" s="38">
        <f t="shared" si="21"/>
        <v>0</v>
      </c>
      <c r="U31" s="38">
        <f t="shared" si="21"/>
        <v>0</v>
      </c>
      <c r="V31" s="38">
        <f t="shared" si="21"/>
        <v>0</v>
      </c>
      <c r="W31" s="38">
        <f t="shared" si="21"/>
        <v>0</v>
      </c>
      <c r="X31" s="38">
        <f t="shared" si="21"/>
        <v>0</v>
      </c>
      <c r="Y31" s="38">
        <f t="shared" si="21"/>
        <v>0</v>
      </c>
      <c r="Z31" s="38">
        <f t="shared" si="21"/>
        <v>0</v>
      </c>
    </row>
    <row r="32" spans="1:26" x14ac:dyDescent="0.2">
      <c r="A32" s="9" t="s">
        <v>26</v>
      </c>
      <c r="B32" s="4">
        <f>SUM(C32:Z32)</f>
        <v>484644.58305409725</v>
      </c>
      <c r="C32" s="38">
        <f>IF(C12="П",-B33,0)</f>
        <v>0</v>
      </c>
      <c r="D32" s="38">
        <f>IF(D12="П",-C33,0)</f>
        <v>0</v>
      </c>
      <c r="E32" s="38">
        <f t="shared" ref="E32:Z32" si="22">IF(E12="Э",-D33,0)</f>
        <v>0</v>
      </c>
      <c r="F32" s="38">
        <f t="shared" si="22"/>
        <v>0</v>
      </c>
      <c r="G32" s="38">
        <f t="shared" si="22"/>
        <v>0</v>
      </c>
      <c r="H32" s="38">
        <f t="shared" si="22"/>
        <v>0</v>
      </c>
      <c r="I32" s="38">
        <f t="shared" si="22"/>
        <v>0</v>
      </c>
      <c r="J32" s="38">
        <f t="shared" si="22"/>
        <v>0</v>
      </c>
      <c r="K32" s="38">
        <f t="shared" si="22"/>
        <v>0</v>
      </c>
      <c r="L32" s="38">
        <f t="shared" si="22"/>
        <v>0</v>
      </c>
      <c r="M32" s="38">
        <f t="shared" si="22"/>
        <v>0</v>
      </c>
      <c r="N32" s="38">
        <f t="shared" si="22"/>
        <v>0</v>
      </c>
      <c r="O32" s="38">
        <f t="shared" si="22"/>
        <v>0</v>
      </c>
      <c r="P32" s="38">
        <f t="shared" si="22"/>
        <v>0</v>
      </c>
      <c r="Q32" s="38">
        <f t="shared" si="22"/>
        <v>484644.58305409725</v>
      </c>
      <c r="R32" s="38">
        <f t="shared" si="22"/>
        <v>0</v>
      </c>
      <c r="S32" s="38">
        <f t="shared" si="22"/>
        <v>0</v>
      </c>
      <c r="T32" s="38">
        <f t="shared" si="22"/>
        <v>0</v>
      </c>
      <c r="U32" s="38">
        <f t="shared" si="22"/>
        <v>0</v>
      </c>
      <c r="V32" s="38">
        <f t="shared" si="22"/>
        <v>0</v>
      </c>
      <c r="W32" s="38">
        <f t="shared" si="22"/>
        <v>0</v>
      </c>
      <c r="X32" s="38">
        <f t="shared" si="22"/>
        <v>0</v>
      </c>
      <c r="Y32" s="38">
        <f t="shared" si="22"/>
        <v>0</v>
      </c>
      <c r="Z32" s="38">
        <f t="shared" si="22"/>
        <v>0</v>
      </c>
    </row>
    <row r="33" spans="1:26" x14ac:dyDescent="0.2">
      <c r="A33" s="29" t="s">
        <v>62</v>
      </c>
      <c r="B33" s="65"/>
      <c r="C33" s="42">
        <f t="shared" ref="C33:Z33" si="23">B33+C31+C32</f>
        <v>0</v>
      </c>
      <c r="D33" s="42">
        <f t="shared" si="23"/>
        <v>0</v>
      </c>
      <c r="E33" s="42">
        <f t="shared" si="23"/>
        <v>0</v>
      </c>
      <c r="F33" s="42">
        <f t="shared" si="23"/>
        <v>0</v>
      </c>
      <c r="G33" s="42">
        <f t="shared" si="23"/>
        <v>0</v>
      </c>
      <c r="H33" s="42">
        <f t="shared" si="23"/>
        <v>0</v>
      </c>
      <c r="I33" s="42">
        <f t="shared" si="23"/>
        <v>0</v>
      </c>
      <c r="J33" s="42">
        <f t="shared" si="23"/>
        <v>0</v>
      </c>
      <c r="K33" s="42">
        <f t="shared" si="23"/>
        <v>0</v>
      </c>
      <c r="L33" s="42">
        <f t="shared" si="23"/>
        <v>-92664.147281705838</v>
      </c>
      <c r="M33" s="42">
        <f t="shared" si="23"/>
        <v>-187413.23787725007</v>
      </c>
      <c r="N33" s="42">
        <f t="shared" si="23"/>
        <v>-284294.18301119405</v>
      </c>
      <c r="O33" s="42">
        <f t="shared" si="23"/>
        <v>-383354.94941065175</v>
      </c>
      <c r="P33" s="42">
        <f t="shared" si="23"/>
        <v>-484644.58305409725</v>
      </c>
      <c r="Q33" s="42">
        <f t="shared" si="23"/>
        <v>0</v>
      </c>
      <c r="R33" s="42">
        <f t="shared" si="23"/>
        <v>0</v>
      </c>
      <c r="S33" s="42">
        <f t="shared" si="23"/>
        <v>0</v>
      </c>
      <c r="T33" s="42">
        <f t="shared" si="23"/>
        <v>0</v>
      </c>
      <c r="U33" s="42">
        <f t="shared" si="23"/>
        <v>0</v>
      </c>
      <c r="V33" s="42">
        <f t="shared" si="23"/>
        <v>0</v>
      </c>
      <c r="W33" s="42">
        <f t="shared" si="23"/>
        <v>0</v>
      </c>
      <c r="X33" s="42">
        <f t="shared" si="23"/>
        <v>0</v>
      </c>
      <c r="Y33" s="42">
        <f t="shared" si="23"/>
        <v>0</v>
      </c>
      <c r="Z33" s="42">
        <f t="shared" si="23"/>
        <v>0</v>
      </c>
    </row>
    <row r="34" spans="1:26" s="44" customFormat="1" x14ac:dyDescent="0.2">
      <c r="A34" s="43" t="s">
        <v>27</v>
      </c>
      <c r="B34" s="49"/>
      <c r="C34" s="49">
        <f t="shared" ref="C34:Z34" si="24">C30+C31+C32</f>
        <v>0</v>
      </c>
      <c r="D34" s="49">
        <f t="shared" si="24"/>
        <v>0</v>
      </c>
      <c r="E34" s="49">
        <f t="shared" si="24"/>
        <v>0</v>
      </c>
      <c r="F34" s="49">
        <f t="shared" si="24"/>
        <v>0</v>
      </c>
      <c r="G34" s="49">
        <f t="shared" si="24"/>
        <v>0</v>
      </c>
      <c r="H34" s="49">
        <f t="shared" si="24"/>
        <v>0</v>
      </c>
      <c r="I34" s="49">
        <f t="shared" si="24"/>
        <v>0</v>
      </c>
      <c r="J34" s="49">
        <f t="shared" si="24"/>
        <v>0</v>
      </c>
      <c r="K34" s="49">
        <f t="shared" si="24"/>
        <v>0</v>
      </c>
      <c r="L34" s="49">
        <f t="shared" si="24"/>
        <v>-113118.49966814352</v>
      </c>
      <c r="M34" s="49">
        <f t="shared" si="24"/>
        <v>-109615.61551782755</v>
      </c>
      <c r="N34" s="49">
        <f t="shared" si="24"/>
        <v>-111214.27936409693</v>
      </c>
      <c r="O34" s="49">
        <f t="shared" si="24"/>
        <v>-112827.22095933532</v>
      </c>
      <c r="P34" s="49">
        <f t="shared" si="24"/>
        <v>-114454.21924820523</v>
      </c>
      <c r="Q34" s="49">
        <f t="shared" si="24"/>
        <v>577424.69305846852</v>
      </c>
      <c r="R34" s="49">
        <f t="shared" si="24"/>
        <v>85969.579103677868</v>
      </c>
      <c r="S34" s="49">
        <f t="shared" si="24"/>
        <v>103798.05192237093</v>
      </c>
      <c r="T34" s="49">
        <f t="shared" si="24"/>
        <v>105355.02270120647</v>
      </c>
      <c r="U34" s="49">
        <f t="shared" si="24"/>
        <v>0</v>
      </c>
      <c r="V34" s="49">
        <f t="shared" si="24"/>
        <v>0</v>
      </c>
      <c r="W34" s="49">
        <f t="shared" si="24"/>
        <v>0</v>
      </c>
      <c r="X34" s="49">
        <f t="shared" si="24"/>
        <v>0</v>
      </c>
      <c r="Y34" s="49">
        <f t="shared" si="24"/>
        <v>0</v>
      </c>
      <c r="Z34" s="49">
        <f t="shared" si="24"/>
        <v>0</v>
      </c>
    </row>
    <row r="35" spans="1:26" x14ac:dyDescent="0.2">
      <c r="A35" s="9" t="s">
        <v>42</v>
      </c>
      <c r="B35" s="4">
        <f>SUM(C35:Z35)</f>
        <v>561229.83475760859</v>
      </c>
      <c r="C35" s="38">
        <f t="shared" ref="C35:D35" si="25">IF(C34&lt;0,-C34,0)</f>
        <v>0</v>
      </c>
      <c r="D35" s="38">
        <f t="shared" si="25"/>
        <v>0</v>
      </c>
      <c r="E35" s="38">
        <f t="shared" ref="E35:Z35" si="26">IF(E12="С",IF(E34&lt;0,-E34,0),0)</f>
        <v>0</v>
      </c>
      <c r="F35" s="38">
        <f t="shared" si="26"/>
        <v>0</v>
      </c>
      <c r="G35" s="38">
        <f t="shared" si="26"/>
        <v>0</v>
      </c>
      <c r="H35" s="38">
        <f t="shared" si="26"/>
        <v>0</v>
      </c>
      <c r="I35" s="38">
        <f t="shared" si="26"/>
        <v>0</v>
      </c>
      <c r="J35" s="38">
        <f t="shared" si="26"/>
        <v>0</v>
      </c>
      <c r="K35" s="38">
        <f t="shared" si="26"/>
        <v>0</v>
      </c>
      <c r="L35" s="38">
        <f t="shared" si="26"/>
        <v>113118.49966814352</v>
      </c>
      <c r="M35" s="38">
        <f t="shared" si="26"/>
        <v>109615.61551782755</v>
      </c>
      <c r="N35" s="38">
        <f t="shared" si="26"/>
        <v>111214.27936409693</v>
      </c>
      <c r="O35" s="38">
        <f t="shared" si="26"/>
        <v>112827.22095933532</v>
      </c>
      <c r="P35" s="38">
        <f t="shared" si="26"/>
        <v>114454.21924820523</v>
      </c>
      <c r="Q35" s="38">
        <f t="shared" si="26"/>
        <v>0</v>
      </c>
      <c r="R35" s="38">
        <f t="shared" si="26"/>
        <v>0</v>
      </c>
      <c r="S35" s="38">
        <f t="shared" si="26"/>
        <v>0</v>
      </c>
      <c r="T35" s="38">
        <f t="shared" si="26"/>
        <v>0</v>
      </c>
      <c r="U35" s="38">
        <f t="shared" si="26"/>
        <v>0</v>
      </c>
      <c r="V35" s="38">
        <f t="shared" si="26"/>
        <v>0</v>
      </c>
      <c r="W35" s="38">
        <f t="shared" si="26"/>
        <v>0</v>
      </c>
      <c r="X35" s="38">
        <f t="shared" si="26"/>
        <v>0</v>
      </c>
      <c r="Y35" s="38">
        <f t="shared" si="26"/>
        <v>0</v>
      </c>
      <c r="Z35" s="38">
        <f t="shared" si="26"/>
        <v>0</v>
      </c>
    </row>
    <row r="36" spans="1:26" x14ac:dyDescent="0.2">
      <c r="A36" s="9" t="s">
        <v>43</v>
      </c>
      <c r="B36" s="4">
        <f>SUM(C36:Z36)</f>
        <v>-561229.83475760859</v>
      </c>
      <c r="C36" s="38">
        <f t="shared" ref="C36:Z36" si="27">IF(C34&gt;0,-MIN(B37,C34),0)</f>
        <v>0</v>
      </c>
      <c r="D36" s="38">
        <f t="shared" si="27"/>
        <v>0</v>
      </c>
      <c r="E36" s="38">
        <f t="shared" si="27"/>
        <v>0</v>
      </c>
      <c r="F36" s="38">
        <f t="shared" si="27"/>
        <v>0</v>
      </c>
      <c r="G36" s="38">
        <f t="shared" si="27"/>
        <v>0</v>
      </c>
      <c r="H36" s="38">
        <f t="shared" si="27"/>
        <v>0</v>
      </c>
      <c r="I36" s="38">
        <f t="shared" si="27"/>
        <v>0</v>
      </c>
      <c r="J36" s="38">
        <f t="shared" si="27"/>
        <v>0</v>
      </c>
      <c r="K36" s="38">
        <f t="shared" si="27"/>
        <v>0</v>
      </c>
      <c r="L36" s="38">
        <f t="shared" si="27"/>
        <v>0</v>
      </c>
      <c r="M36" s="38">
        <f t="shared" si="27"/>
        <v>0</v>
      </c>
      <c r="N36" s="38">
        <f t="shared" si="27"/>
        <v>0</v>
      </c>
      <c r="O36" s="38">
        <f t="shared" si="27"/>
        <v>0</v>
      </c>
      <c r="P36" s="38">
        <f t="shared" si="27"/>
        <v>0</v>
      </c>
      <c r="Q36" s="38">
        <f t="shared" si="27"/>
        <v>-561229.83475760859</v>
      </c>
      <c r="R36" s="38">
        <f t="shared" si="27"/>
        <v>0</v>
      </c>
      <c r="S36" s="38">
        <f t="shared" si="27"/>
        <v>0</v>
      </c>
      <c r="T36" s="38">
        <f t="shared" si="27"/>
        <v>0</v>
      </c>
      <c r="U36" s="38">
        <f t="shared" si="27"/>
        <v>0</v>
      </c>
      <c r="V36" s="38">
        <f t="shared" si="27"/>
        <v>0</v>
      </c>
      <c r="W36" s="38">
        <f t="shared" si="27"/>
        <v>0</v>
      </c>
      <c r="X36" s="38">
        <f t="shared" si="27"/>
        <v>0</v>
      </c>
      <c r="Y36" s="38">
        <f t="shared" si="27"/>
        <v>0</v>
      </c>
      <c r="Z36" s="38">
        <f t="shared" si="27"/>
        <v>0</v>
      </c>
    </row>
    <row r="37" spans="1:26" x14ac:dyDescent="0.2">
      <c r="A37" s="29" t="s">
        <v>4</v>
      </c>
      <c r="B37" s="65"/>
      <c r="C37" s="42">
        <f t="shared" ref="C37:Z37" si="28">B37+C35+C36</f>
        <v>0</v>
      </c>
      <c r="D37" s="42">
        <f t="shared" si="28"/>
        <v>0</v>
      </c>
      <c r="E37" s="42">
        <f t="shared" si="28"/>
        <v>0</v>
      </c>
      <c r="F37" s="42">
        <f t="shared" si="28"/>
        <v>0</v>
      </c>
      <c r="G37" s="42">
        <f t="shared" si="28"/>
        <v>0</v>
      </c>
      <c r="H37" s="42">
        <f t="shared" si="28"/>
        <v>0</v>
      </c>
      <c r="I37" s="42">
        <f t="shared" si="28"/>
        <v>0</v>
      </c>
      <c r="J37" s="42">
        <f t="shared" si="28"/>
        <v>0</v>
      </c>
      <c r="K37" s="42">
        <f t="shared" si="28"/>
        <v>0</v>
      </c>
      <c r="L37" s="42">
        <f t="shared" si="28"/>
        <v>113118.49966814352</v>
      </c>
      <c r="M37" s="42">
        <f t="shared" si="28"/>
        <v>222734.11518597108</v>
      </c>
      <c r="N37" s="42">
        <f t="shared" si="28"/>
        <v>333948.39455006801</v>
      </c>
      <c r="O37" s="42">
        <f t="shared" si="28"/>
        <v>446775.61550940335</v>
      </c>
      <c r="P37" s="42">
        <f t="shared" si="28"/>
        <v>561229.83475760859</v>
      </c>
      <c r="Q37" s="42">
        <f t="shared" si="28"/>
        <v>0</v>
      </c>
      <c r="R37" s="42">
        <f t="shared" si="28"/>
        <v>0</v>
      </c>
      <c r="S37" s="42">
        <f t="shared" si="28"/>
        <v>0</v>
      </c>
      <c r="T37" s="42">
        <f t="shared" si="28"/>
        <v>0</v>
      </c>
      <c r="U37" s="42">
        <f t="shared" si="28"/>
        <v>0</v>
      </c>
      <c r="V37" s="42">
        <f t="shared" si="28"/>
        <v>0</v>
      </c>
      <c r="W37" s="42">
        <f t="shared" si="28"/>
        <v>0</v>
      </c>
      <c r="X37" s="42">
        <f t="shared" si="28"/>
        <v>0</v>
      </c>
      <c r="Y37" s="42">
        <f t="shared" si="28"/>
        <v>0</v>
      </c>
      <c r="Z37" s="42">
        <f t="shared" si="28"/>
        <v>0</v>
      </c>
    </row>
    <row r="38" spans="1:26" x14ac:dyDescent="0.2">
      <c r="A38" s="66" t="s">
        <v>28</v>
      </c>
      <c r="B38" s="65"/>
      <c r="C38" s="42">
        <f t="shared" ref="C38:Z38" si="29">C37+C33</f>
        <v>0</v>
      </c>
      <c r="D38" s="42">
        <f t="shared" si="29"/>
        <v>0</v>
      </c>
      <c r="E38" s="42">
        <f t="shared" si="29"/>
        <v>0</v>
      </c>
      <c r="F38" s="42">
        <f t="shared" si="29"/>
        <v>0</v>
      </c>
      <c r="G38" s="42">
        <f t="shared" si="29"/>
        <v>0</v>
      </c>
      <c r="H38" s="42">
        <f t="shared" si="29"/>
        <v>0</v>
      </c>
      <c r="I38" s="42">
        <f t="shared" si="29"/>
        <v>0</v>
      </c>
      <c r="J38" s="42">
        <f t="shared" si="29"/>
        <v>0</v>
      </c>
      <c r="K38" s="42">
        <f t="shared" si="29"/>
        <v>0</v>
      </c>
      <c r="L38" s="42">
        <f t="shared" si="29"/>
        <v>20454.352386437677</v>
      </c>
      <c r="M38" s="42">
        <f t="shared" si="29"/>
        <v>35320.877308721014</v>
      </c>
      <c r="N38" s="42">
        <f t="shared" si="29"/>
        <v>49654.211538873962</v>
      </c>
      <c r="O38" s="42">
        <f t="shared" si="29"/>
        <v>63420.666098751593</v>
      </c>
      <c r="P38" s="42">
        <f t="shared" si="29"/>
        <v>76585.251703511341</v>
      </c>
      <c r="Q38" s="42">
        <f t="shared" si="29"/>
        <v>0</v>
      </c>
      <c r="R38" s="42">
        <f t="shared" si="29"/>
        <v>0</v>
      </c>
      <c r="S38" s="42">
        <f t="shared" si="29"/>
        <v>0</v>
      </c>
      <c r="T38" s="42">
        <f t="shared" si="29"/>
        <v>0</v>
      </c>
      <c r="U38" s="42">
        <f t="shared" si="29"/>
        <v>0</v>
      </c>
      <c r="V38" s="42">
        <f t="shared" si="29"/>
        <v>0</v>
      </c>
      <c r="W38" s="42">
        <f t="shared" si="29"/>
        <v>0</v>
      </c>
      <c r="X38" s="42">
        <f t="shared" si="29"/>
        <v>0</v>
      </c>
      <c r="Y38" s="42">
        <f t="shared" si="29"/>
        <v>0</v>
      </c>
      <c r="Z38" s="42">
        <f t="shared" si="29"/>
        <v>0</v>
      </c>
    </row>
    <row r="39" spans="1:26" x14ac:dyDescent="0.2">
      <c r="A39" s="29" t="s">
        <v>124</v>
      </c>
      <c r="B39" s="65"/>
      <c r="C39" s="128">
        <f>IF(B37&gt;0,IF(B37&gt;-B33,(-B33*ИДиР!$B$21+(B37+B33)*ИДиР!$B$20)/B37,MAX((B37*ИДиР!$B$21-(-B33-B37)*ИДиР!$B$22)/B37,0.01%)),0)</f>
        <v>0</v>
      </c>
      <c r="D39" s="128">
        <f>IF(C37&gt;0,IF(C37&gt;-C33,(-C33*ИДиР!$B$21+(C37+C33)*ИДиР!$B$20)/C37,MAX((C37*ИДиР!$B$21-(-C33-C37)*ИДиР!$B$22)/C37,0.01%)),0)</f>
        <v>0</v>
      </c>
      <c r="E39" s="128">
        <f>IF(D37&gt;0,IF(D37&gt;-D33,(-D33*ИДиР!$B$21+(D37+D33)*ИДиР!$B$20)/D37,MAX((D37*ИДиР!$B$21-(-D33-D37)*ИДиР!$B$22)/D37,0.01%)),0)</f>
        <v>0</v>
      </c>
      <c r="F39" s="128">
        <f>IF(E37&gt;0,IF(E37&gt;-E33,(-E33*ИДиР!$B$21+(E37+E33)*ИДиР!$B$20)/E37,MAX((E37*ИДиР!$B$21-(-E33-E37)*ИДиР!$B$22)/E37,0.01%)),0)</f>
        <v>0</v>
      </c>
      <c r="G39" s="128">
        <f>IF(F37&gt;0,IF(F37&gt;-F33,(-F33*ИДиР!$B$21+(F37+F33)*ИДиР!$B$20)/F37,MAX((F37*ИДиР!$B$21-(-F33-F37)*ИДиР!$B$22)/F37,0.01%)),0)</f>
        <v>0</v>
      </c>
      <c r="H39" s="128">
        <f>IF(G37&gt;0,IF(G37&gt;-G33,(-G33*ИДиР!$B$21+(G37+G33)*ИДиР!$B$20)/G37,MAX((G37*ИДиР!$B$21-(-G33-G37)*ИДиР!$B$22)/G37,0.01%)),0)</f>
        <v>0</v>
      </c>
      <c r="I39" s="128">
        <f>IF(H37&gt;0,IF(H37&gt;-H33,(-H33*ИДиР!$B$21+(H37+H33)*ИДиР!$B$20)/H37,MAX((H37*ИДиР!$B$21-(-H33-H37)*ИДиР!$B$22)/H37,0.01%)),0)</f>
        <v>0</v>
      </c>
      <c r="J39" s="128">
        <f>IF(I37&gt;0,IF(I37&gt;-I33,(-I33*ИДиР!$B$21+(I37+I33)*ИДиР!$B$20)/I37,MAX((I37*ИДиР!$B$21-(-I33-I37)*ИДиР!$B$22)/I37,0.01%)),0)</f>
        <v>0</v>
      </c>
      <c r="K39" s="128">
        <f>IF(J37&gt;0,IF(J37&gt;-J33,(-J33*ИДиР!$B$21+(J37+J33)*ИДиР!$B$20)/J37,MAX((J37*ИДиР!$B$21-(-J33-J37)*ИДиР!$B$22)/J37,0.01%)),0)</f>
        <v>0</v>
      </c>
      <c r="L39" s="128">
        <f>IF(K37&gt;0,IF(K37&gt;-K33,(-K33*ИДиР!$B$21+(K37+K33)*ИДиР!$B$20)/K37,MAX((K37*ИДиР!$B$21-(-K33-K37)*ИДиР!$B$22)/K37,0.01%)),0)</f>
        <v>0</v>
      </c>
      <c r="M39" s="128">
        <f>IF(L37&gt;0,IF(L37&gt;-L33,(-L33*ИДиР!$B$21+(L37+L33)*ИДиР!$B$20)/L37,MAX((L37*ИДиР!$B$21-(-L33-L37)*ИДиР!$B$22)/L37,0.01%)),0)</f>
        <v>5.9041117255994709E-2</v>
      </c>
      <c r="N39" s="128">
        <f>IF(M37&gt;0,IF(M37&gt;-M33,(-M33*ИДиР!$B$21+(M37+M33)*ИДиР!$B$20)/M37,MAX((M37*ИДиР!$B$21-(-M33-M37)*ИДиР!$B$22)/M37,0.01%)),0)</f>
        <v>5.7928932952015448E-2</v>
      </c>
      <c r="O39" s="128">
        <f>IF(N37&gt;0,IF(N37&gt;-N33,(-N33*ИДиР!$B$21+(N37+N33)*ИДиР!$B$20)/N37,MAX((N37*ИДиР!$B$21-(-N33-N37)*ИДиР!$B$22)/N37,0.01%)),0)</f>
        <v>5.7434413871905801E-2</v>
      </c>
      <c r="P39" s="128">
        <f>IF(O37&gt;0,IF(O37&gt;-O33,(-O33*ИДиР!$B$21+(O37+O33)*ИДиР!$B$20)/O37,MAX((O37*ИДиР!$B$21-(-O33-O37)*ИДиР!$B$22)/O37,0.01%)),0)</f>
        <v>5.7097597081976016E-2</v>
      </c>
      <c r="Q39" s="128">
        <f>IF(P37&gt;0,IF(P37&gt;-P33,(-P33*ИДиР!$B$21+(P37+P33)*ИДиР!$B$20)/P37,MAX((P37*ИДиР!$B$21-(-P33-P37)*ИДиР!$B$22)/P37,0.01%)),0)</f>
        <v>5.6822984716821769E-2</v>
      </c>
      <c r="R39" s="128">
        <f>IF(Q37&gt;0,IF(Q37&gt;-Q33,(-Q33*ИДиР!$B$21+(Q37+Q33)*ИДиР!$B$20)/Q37,MAX((Q37*ИДиР!$B$21-(-Q33-Q37)*ИДиР!$B$22)/Q37,0.01%)),0)</f>
        <v>0</v>
      </c>
      <c r="S39" s="128">
        <f>IF(R37&gt;0,IF(R37&gt;-R33,(-R33*ИДиР!$B$21+(R37+R33)*ИДиР!$B$20)/R37,MAX((R37*ИДиР!$B$21-(-R33-R37)*ИДиР!$B$22)/R37,0.01%)),0)</f>
        <v>0</v>
      </c>
      <c r="T39" s="128">
        <f>IF(S37&gt;0,IF(S37&gt;-S33,(-S33*ИДиР!$B$21+(S37+S33)*ИДиР!$B$20)/S37,MAX((S37*ИДиР!$B$21-(-S33-S37)*ИДиР!$B$22)/S37,0.01%)),0)</f>
        <v>0</v>
      </c>
      <c r="U39" s="128">
        <f>IF(T37&gt;0,IF(T37&gt;-T33,(-T33*ИДиР!$B$21+(T37+T33)*ИДиР!$B$20)/T37,MAX((T37*ИДиР!$B$21-(-T33-T37)*ИДиР!$B$22)/T37,0.01%)),0)</f>
        <v>0</v>
      </c>
      <c r="V39" s="128">
        <f>IF(U37&gt;0,IF(U37&gt;-U33,(-U33*ИДиР!$B$21+(U37+U33)*ИДиР!$B$20)/U37,MAX((U37*ИДиР!$B$21-(-U33-U37)*ИДиР!$B$22)/U37,0.01%)),0)</f>
        <v>0</v>
      </c>
      <c r="W39" s="42"/>
      <c r="X39" s="42"/>
      <c r="Y39" s="42"/>
      <c r="Z39" s="42"/>
    </row>
    <row r="40" spans="1:26" s="44" customFormat="1" x14ac:dyDescent="0.2">
      <c r="A40" s="43" t="s">
        <v>0</v>
      </c>
      <c r="B40" s="49"/>
      <c r="C40" s="49">
        <f t="shared" ref="C40:Z40" si="30">C34+C35+C36</f>
        <v>0</v>
      </c>
      <c r="D40" s="49">
        <f t="shared" si="30"/>
        <v>0</v>
      </c>
      <c r="E40" s="49">
        <f t="shared" si="30"/>
        <v>0</v>
      </c>
      <c r="F40" s="49">
        <f t="shared" si="30"/>
        <v>0</v>
      </c>
      <c r="G40" s="49">
        <f t="shared" si="30"/>
        <v>0</v>
      </c>
      <c r="H40" s="49">
        <f t="shared" si="30"/>
        <v>0</v>
      </c>
      <c r="I40" s="49">
        <f t="shared" si="30"/>
        <v>0</v>
      </c>
      <c r="J40" s="49">
        <f t="shared" si="30"/>
        <v>0</v>
      </c>
      <c r="K40" s="49">
        <f t="shared" si="30"/>
        <v>0</v>
      </c>
      <c r="L40" s="49">
        <f t="shared" si="30"/>
        <v>0</v>
      </c>
      <c r="M40" s="49">
        <f t="shared" si="30"/>
        <v>0</v>
      </c>
      <c r="N40" s="49">
        <f t="shared" si="30"/>
        <v>0</v>
      </c>
      <c r="O40" s="49">
        <f t="shared" si="30"/>
        <v>0</v>
      </c>
      <c r="P40" s="49">
        <f t="shared" si="30"/>
        <v>0</v>
      </c>
      <c r="Q40" s="49">
        <f t="shared" si="30"/>
        <v>16194.858300859923</v>
      </c>
      <c r="R40" s="49">
        <f t="shared" si="30"/>
        <v>85969.579103677868</v>
      </c>
      <c r="S40" s="49">
        <f t="shared" si="30"/>
        <v>103798.05192237093</v>
      </c>
      <c r="T40" s="49">
        <f t="shared" si="30"/>
        <v>105355.02270120647</v>
      </c>
      <c r="U40" s="49">
        <f t="shared" si="30"/>
        <v>0</v>
      </c>
      <c r="V40" s="49">
        <f t="shared" si="30"/>
        <v>0</v>
      </c>
      <c r="W40" s="49">
        <f t="shared" si="30"/>
        <v>0</v>
      </c>
      <c r="X40" s="49">
        <f t="shared" si="30"/>
        <v>0</v>
      </c>
      <c r="Y40" s="49">
        <f t="shared" si="30"/>
        <v>0</v>
      </c>
      <c r="Z40" s="49">
        <f t="shared" si="30"/>
        <v>0</v>
      </c>
    </row>
    <row r="41" spans="1:26" x14ac:dyDescent="0.2">
      <c r="A41" s="9" t="s">
        <v>5</v>
      </c>
      <c r="B41" s="4">
        <f>SUM(C41:Z41)</f>
        <v>-63863.319324614233</v>
      </c>
      <c r="C41" s="38">
        <f t="shared" ref="C41:Z41" si="31">C53</f>
        <v>0</v>
      </c>
      <c r="D41" s="38">
        <f t="shared" si="31"/>
        <v>0</v>
      </c>
      <c r="E41" s="38">
        <f t="shared" si="31"/>
        <v>0</v>
      </c>
      <c r="F41" s="38">
        <f t="shared" si="31"/>
        <v>0</v>
      </c>
      <c r="G41" s="38">
        <f t="shared" si="31"/>
        <v>0</v>
      </c>
      <c r="H41" s="38">
        <f t="shared" si="31"/>
        <v>0</v>
      </c>
      <c r="I41" s="38">
        <f t="shared" si="31"/>
        <v>0</v>
      </c>
      <c r="J41" s="38">
        <f t="shared" si="31"/>
        <v>0</v>
      </c>
      <c r="K41" s="38">
        <f t="shared" si="31"/>
        <v>0</v>
      </c>
      <c r="L41" s="38">
        <f t="shared" si="31"/>
        <v>0</v>
      </c>
      <c r="M41" s="38">
        <f t="shared" si="31"/>
        <v>0</v>
      </c>
      <c r="N41" s="38">
        <f t="shared" si="31"/>
        <v>0</v>
      </c>
      <c r="O41" s="38">
        <f>O53</f>
        <v>0</v>
      </c>
      <c r="P41" s="38">
        <f t="shared" si="31"/>
        <v>0</v>
      </c>
      <c r="Q41" s="38">
        <f t="shared" si="31"/>
        <v>-823.35933676015702</v>
      </c>
      <c r="R41" s="38">
        <f t="shared" si="31"/>
        <v>-20355.659044266853</v>
      </c>
      <c r="S41" s="38">
        <f t="shared" si="31"/>
        <v>-21183.275902524678</v>
      </c>
      <c r="T41" s="38">
        <f t="shared" si="31"/>
        <v>-21501.025041062545</v>
      </c>
      <c r="U41" s="38">
        <f t="shared" si="31"/>
        <v>0</v>
      </c>
      <c r="V41" s="38">
        <f t="shared" si="31"/>
        <v>0</v>
      </c>
      <c r="W41" s="38">
        <f t="shared" si="31"/>
        <v>0</v>
      </c>
      <c r="X41" s="38">
        <f t="shared" si="31"/>
        <v>0</v>
      </c>
      <c r="Y41" s="38">
        <f t="shared" si="31"/>
        <v>0</v>
      </c>
      <c r="Z41" s="38">
        <f t="shared" si="31"/>
        <v>0</v>
      </c>
    </row>
    <row r="42" spans="1:26" s="44" customFormat="1" x14ac:dyDescent="0.2">
      <c r="A42" s="43" t="s">
        <v>29</v>
      </c>
      <c r="B42" s="49"/>
      <c r="C42" s="49">
        <f t="shared" ref="C42:Z42" si="32">C40+C41</f>
        <v>0</v>
      </c>
      <c r="D42" s="49">
        <f t="shared" si="32"/>
        <v>0</v>
      </c>
      <c r="E42" s="49">
        <f t="shared" si="32"/>
        <v>0</v>
      </c>
      <c r="F42" s="49">
        <f t="shared" si="32"/>
        <v>0</v>
      </c>
      <c r="G42" s="49">
        <f t="shared" si="32"/>
        <v>0</v>
      </c>
      <c r="H42" s="49">
        <f t="shared" si="32"/>
        <v>0</v>
      </c>
      <c r="I42" s="49">
        <f t="shared" si="32"/>
        <v>0</v>
      </c>
      <c r="J42" s="49">
        <f t="shared" si="32"/>
        <v>0</v>
      </c>
      <c r="K42" s="49">
        <f t="shared" si="32"/>
        <v>0</v>
      </c>
      <c r="L42" s="49">
        <f t="shared" si="32"/>
        <v>0</v>
      </c>
      <c r="M42" s="49">
        <f t="shared" si="32"/>
        <v>0</v>
      </c>
      <c r="N42" s="49">
        <f t="shared" si="32"/>
        <v>0</v>
      </c>
      <c r="O42" s="49">
        <f t="shared" si="32"/>
        <v>0</v>
      </c>
      <c r="P42" s="49">
        <f t="shared" si="32"/>
        <v>0</v>
      </c>
      <c r="Q42" s="49">
        <f t="shared" si="32"/>
        <v>15371.498964099766</v>
      </c>
      <c r="R42" s="49">
        <f t="shared" si="32"/>
        <v>65613.920059411015</v>
      </c>
      <c r="S42" s="49">
        <f t="shared" si="32"/>
        <v>82614.776019846249</v>
      </c>
      <c r="T42" s="49">
        <f t="shared" si="32"/>
        <v>83853.997660143927</v>
      </c>
      <c r="U42" s="49">
        <f t="shared" si="32"/>
        <v>0</v>
      </c>
      <c r="V42" s="49">
        <f t="shared" si="32"/>
        <v>0</v>
      </c>
      <c r="W42" s="49">
        <f t="shared" si="32"/>
        <v>0</v>
      </c>
      <c r="X42" s="49">
        <f t="shared" si="32"/>
        <v>0</v>
      </c>
      <c r="Y42" s="49">
        <f t="shared" si="32"/>
        <v>0</v>
      </c>
      <c r="Z42" s="49">
        <f t="shared" si="32"/>
        <v>0</v>
      </c>
    </row>
    <row r="43" spans="1:26" x14ac:dyDescent="0.2">
      <c r="A43" s="9" t="s">
        <v>30</v>
      </c>
      <c r="B43" s="4">
        <f>SUM(C43:Z43)</f>
        <v>-247454.19270350097</v>
      </c>
      <c r="C43" s="38">
        <f t="shared" ref="C43:R43" si="33">IF(C42&gt;0,-C42,0)</f>
        <v>0</v>
      </c>
      <c r="D43" s="38">
        <f t="shared" si="33"/>
        <v>0</v>
      </c>
      <c r="E43" s="38">
        <f t="shared" si="33"/>
        <v>0</v>
      </c>
      <c r="F43" s="38">
        <f t="shared" si="33"/>
        <v>0</v>
      </c>
      <c r="G43" s="38">
        <f t="shared" si="33"/>
        <v>0</v>
      </c>
      <c r="H43" s="38">
        <f t="shared" si="33"/>
        <v>0</v>
      </c>
      <c r="I43" s="38">
        <f t="shared" si="33"/>
        <v>0</v>
      </c>
      <c r="J43" s="38">
        <f t="shared" si="33"/>
        <v>0</v>
      </c>
      <c r="K43" s="38">
        <f t="shared" si="33"/>
        <v>0</v>
      </c>
      <c r="L43" s="38">
        <f t="shared" si="33"/>
        <v>0</v>
      </c>
      <c r="M43" s="38">
        <f t="shared" si="33"/>
        <v>0</v>
      </c>
      <c r="N43" s="38">
        <f t="shared" si="33"/>
        <v>0</v>
      </c>
      <c r="O43" s="38">
        <f t="shared" si="33"/>
        <v>0</v>
      </c>
      <c r="P43" s="38">
        <f t="shared" si="33"/>
        <v>0</v>
      </c>
      <c r="Q43" s="38">
        <f t="shared" si="33"/>
        <v>-15371.498964099766</v>
      </c>
      <c r="R43" s="38">
        <f t="shared" si="33"/>
        <v>-65613.920059411015</v>
      </c>
      <c r="S43" s="38">
        <f>IF(S42&gt;0,-S42,0)</f>
        <v>-82614.776019846249</v>
      </c>
      <c r="T43" s="38">
        <f t="shared" ref="T43:Z43" si="34">IF(T42&gt;0,-T42,0)</f>
        <v>-83853.997660143927</v>
      </c>
      <c r="U43" s="38">
        <f t="shared" si="34"/>
        <v>0</v>
      </c>
      <c r="V43" s="38">
        <f t="shared" si="34"/>
        <v>0</v>
      </c>
      <c r="W43" s="38">
        <f t="shared" si="34"/>
        <v>0</v>
      </c>
      <c r="X43" s="38">
        <f t="shared" si="34"/>
        <v>0</v>
      </c>
      <c r="Y43" s="38">
        <f t="shared" si="34"/>
        <v>0</v>
      </c>
      <c r="Z43" s="38">
        <f t="shared" si="34"/>
        <v>0</v>
      </c>
    </row>
    <row r="44" spans="1:26" s="44" customFormat="1" x14ac:dyDescent="0.2">
      <c r="A44" s="43" t="s">
        <v>31</v>
      </c>
      <c r="B44" s="49"/>
      <c r="C44" s="49">
        <f t="shared" ref="C44:Z44" si="35">C42+C43</f>
        <v>0</v>
      </c>
      <c r="D44" s="49">
        <f t="shared" si="35"/>
        <v>0</v>
      </c>
      <c r="E44" s="49">
        <f t="shared" si="35"/>
        <v>0</v>
      </c>
      <c r="F44" s="49">
        <f t="shared" si="35"/>
        <v>0</v>
      </c>
      <c r="G44" s="49">
        <f t="shared" si="35"/>
        <v>0</v>
      </c>
      <c r="H44" s="49">
        <f t="shared" si="35"/>
        <v>0</v>
      </c>
      <c r="I44" s="49">
        <f t="shared" si="35"/>
        <v>0</v>
      </c>
      <c r="J44" s="49">
        <f t="shared" si="35"/>
        <v>0</v>
      </c>
      <c r="K44" s="49">
        <f t="shared" si="35"/>
        <v>0</v>
      </c>
      <c r="L44" s="49">
        <f t="shared" si="35"/>
        <v>0</v>
      </c>
      <c r="M44" s="49">
        <f t="shared" si="35"/>
        <v>0</v>
      </c>
      <c r="N44" s="49">
        <f t="shared" si="35"/>
        <v>0</v>
      </c>
      <c r="O44" s="49">
        <f t="shared" si="35"/>
        <v>0</v>
      </c>
      <c r="P44" s="49">
        <f t="shared" si="35"/>
        <v>0</v>
      </c>
      <c r="Q44" s="49">
        <f t="shared" si="35"/>
        <v>0</v>
      </c>
      <c r="R44" s="49">
        <f t="shared" si="35"/>
        <v>0</v>
      </c>
      <c r="S44" s="49">
        <f t="shared" si="35"/>
        <v>0</v>
      </c>
      <c r="T44" s="49">
        <f t="shared" si="35"/>
        <v>0</v>
      </c>
      <c r="U44" s="49">
        <f t="shared" si="35"/>
        <v>0</v>
      </c>
      <c r="V44" s="49">
        <f t="shared" si="35"/>
        <v>0</v>
      </c>
      <c r="W44" s="49">
        <f t="shared" si="35"/>
        <v>0</v>
      </c>
      <c r="X44" s="49">
        <f t="shared" si="35"/>
        <v>0</v>
      </c>
      <c r="Y44" s="49">
        <f t="shared" si="35"/>
        <v>0</v>
      </c>
      <c r="Z44" s="49">
        <f t="shared" si="35"/>
        <v>0</v>
      </c>
    </row>
    <row r="45" spans="1:26" s="18" customFormat="1" x14ac:dyDescent="0.2">
      <c r="A45" s="16" t="s">
        <v>32</v>
      </c>
      <c r="B45" s="4">
        <f>SUM(C45:Z45)</f>
        <v>247454.19270350086</v>
      </c>
      <c r="C45" s="38">
        <f t="shared" ref="C45:Z45" si="36">C16+C22+C41+C31+C32</f>
        <v>0</v>
      </c>
      <c r="D45" s="38">
        <f t="shared" si="36"/>
        <v>0</v>
      </c>
      <c r="E45" s="38">
        <f t="shared" si="36"/>
        <v>0</v>
      </c>
      <c r="F45" s="38">
        <f t="shared" si="36"/>
        <v>0</v>
      </c>
      <c r="G45" s="38">
        <f t="shared" si="36"/>
        <v>0</v>
      </c>
      <c r="H45" s="38">
        <f t="shared" si="36"/>
        <v>0</v>
      </c>
      <c r="I45" s="38">
        <f t="shared" si="36"/>
        <v>0</v>
      </c>
      <c r="J45" s="38">
        <f t="shared" si="36"/>
        <v>0</v>
      </c>
      <c r="K45" s="38">
        <f t="shared" si="36"/>
        <v>0</v>
      </c>
      <c r="L45" s="38">
        <f t="shared" si="36"/>
        <v>-113118.49966814352</v>
      </c>
      <c r="M45" s="38">
        <f t="shared" si="36"/>
        <v>-109615.61551782755</v>
      </c>
      <c r="N45" s="38">
        <f t="shared" si="36"/>
        <v>-111214.27936409693</v>
      </c>
      <c r="O45" s="38">
        <f t="shared" si="36"/>
        <v>-112827.22095933532</v>
      </c>
      <c r="P45" s="38">
        <f t="shared" si="36"/>
        <v>-114454.21924820523</v>
      </c>
      <c r="Q45" s="38">
        <f t="shared" si="36"/>
        <v>576601.33372170827</v>
      </c>
      <c r="R45" s="38">
        <f t="shared" si="36"/>
        <v>65613.920059411015</v>
      </c>
      <c r="S45" s="38">
        <f t="shared" si="36"/>
        <v>82614.776019846249</v>
      </c>
      <c r="T45" s="38">
        <f t="shared" si="36"/>
        <v>83853.997660143927</v>
      </c>
      <c r="U45" s="38">
        <f t="shared" si="36"/>
        <v>0</v>
      </c>
      <c r="V45" s="38">
        <f t="shared" si="36"/>
        <v>0</v>
      </c>
      <c r="W45" s="38">
        <f t="shared" si="36"/>
        <v>0</v>
      </c>
      <c r="X45" s="38">
        <f t="shared" si="36"/>
        <v>0</v>
      </c>
      <c r="Y45" s="38">
        <f t="shared" si="36"/>
        <v>0</v>
      </c>
      <c r="Z45" s="38">
        <f t="shared" si="36"/>
        <v>0</v>
      </c>
    </row>
    <row r="46" spans="1:26" x14ac:dyDescent="0.2">
      <c r="A46" s="15" t="s">
        <v>50</v>
      </c>
      <c r="B46" s="19">
        <f>IFERROR(IRR(C45:Z45)*4,0)</f>
        <v>0.42268988088055615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x14ac:dyDescent="0.2">
      <c r="A47" s="21"/>
      <c r="B47" s="56"/>
      <c r="C47" s="56"/>
      <c r="D47" s="56"/>
      <c r="E47" s="56"/>
      <c r="F47" s="56"/>
      <c r="G47" s="57"/>
      <c r="H47" s="57"/>
      <c r="I47" s="57"/>
      <c r="J47" s="58"/>
      <c r="K47" s="58"/>
      <c r="L47" s="58"/>
      <c r="M47" s="58"/>
      <c r="N47" s="58"/>
      <c r="O47" s="58"/>
      <c r="P47" s="58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x14ac:dyDescent="0.2">
      <c r="A48" s="9" t="s">
        <v>51</v>
      </c>
      <c r="B48" s="4">
        <f>SUM(C48:Z48)</f>
        <v>905226.17874044925</v>
      </c>
      <c r="C48" s="38">
        <f t="shared" ref="C48:Z48" si="37">C17+C18</f>
        <v>0</v>
      </c>
      <c r="D48" s="38">
        <f t="shared" si="37"/>
        <v>0</v>
      </c>
      <c r="E48" s="38">
        <f t="shared" si="37"/>
        <v>0</v>
      </c>
      <c r="F48" s="38">
        <f t="shared" si="37"/>
        <v>0</v>
      </c>
      <c r="G48" s="38">
        <f t="shared" si="37"/>
        <v>0</v>
      </c>
      <c r="H48" s="38">
        <f t="shared" si="37"/>
        <v>0</v>
      </c>
      <c r="I48" s="38">
        <f t="shared" si="37"/>
        <v>0</v>
      </c>
      <c r="J48" s="38">
        <f t="shared" si="37"/>
        <v>0</v>
      </c>
      <c r="K48" s="38">
        <f t="shared" si="37"/>
        <v>0</v>
      </c>
      <c r="L48" s="38">
        <f t="shared" si="37"/>
        <v>92664.147281705838</v>
      </c>
      <c r="M48" s="38">
        <f t="shared" si="37"/>
        <v>94749.090595544229</v>
      </c>
      <c r="N48" s="38">
        <f t="shared" si="37"/>
        <v>96880.945133943969</v>
      </c>
      <c r="O48" s="38">
        <f t="shared" si="37"/>
        <v>99060.766399457716</v>
      </c>
      <c r="P48" s="38">
        <f t="shared" si="37"/>
        <v>101289.63364344552</v>
      </c>
      <c r="Q48" s="38">
        <f t="shared" si="37"/>
        <v>102808.97814809719</v>
      </c>
      <c r="R48" s="38">
        <f t="shared" si="37"/>
        <v>104351.11282031862</v>
      </c>
      <c r="S48" s="38">
        <f t="shared" si="37"/>
        <v>105916.37951262339</v>
      </c>
      <c r="T48" s="38">
        <f t="shared" si="37"/>
        <v>107505.12520531272</v>
      </c>
      <c r="U48" s="38">
        <f t="shared" si="37"/>
        <v>0</v>
      </c>
      <c r="V48" s="38">
        <f t="shared" si="37"/>
        <v>0</v>
      </c>
      <c r="W48" s="38">
        <f t="shared" si="37"/>
        <v>0</v>
      </c>
      <c r="X48" s="38">
        <f t="shared" si="37"/>
        <v>0</v>
      </c>
      <c r="Y48" s="38">
        <f t="shared" si="37"/>
        <v>0</v>
      </c>
      <c r="Z48" s="38">
        <f t="shared" si="37"/>
        <v>0</v>
      </c>
    </row>
    <row r="49" spans="1:26" x14ac:dyDescent="0.2">
      <c r="A49" s="9" t="s">
        <v>6</v>
      </c>
      <c r="B49" s="4">
        <f>SUM(C49:Z49)</f>
        <v>-585909.58211737801</v>
      </c>
      <c r="C49" s="38">
        <f t="shared" ref="C49:V49" si="38">C23+C25+C27+C28+C29</f>
        <v>0</v>
      </c>
      <c r="D49" s="38">
        <f t="shared" si="38"/>
        <v>0</v>
      </c>
      <c r="E49" s="38">
        <f t="shared" si="38"/>
        <v>0</v>
      </c>
      <c r="F49" s="38">
        <f t="shared" si="38"/>
        <v>0</v>
      </c>
      <c r="G49" s="38">
        <f t="shared" si="38"/>
        <v>0</v>
      </c>
      <c r="H49" s="38">
        <f t="shared" si="38"/>
        <v>0</v>
      </c>
      <c r="I49" s="38">
        <f t="shared" si="38"/>
        <v>0</v>
      </c>
      <c r="J49" s="38">
        <f t="shared" si="38"/>
        <v>-13721.693861250002</v>
      </c>
      <c r="K49" s="38">
        <f t="shared" si="38"/>
        <v>-13721.693861250002</v>
      </c>
      <c r="L49" s="38">
        <f t="shared" si="38"/>
        <v>-110541.96574623001</v>
      </c>
      <c r="M49" s="38">
        <f t="shared" si="38"/>
        <v>-106997.38272963728</v>
      </c>
      <c r="N49" s="38">
        <f t="shared" si="38"/>
        <v>-108553.40948513866</v>
      </c>
      <c r="O49" s="38">
        <f t="shared" si="38"/>
        <v>-110122.75465506678</v>
      </c>
      <c r="P49" s="38">
        <f t="shared" si="38"/>
        <v>-111705.17559905694</v>
      </c>
      <c r="Q49" s="38">
        <f t="shared" si="38"/>
        <v>-7972.6885807640001</v>
      </c>
      <c r="R49" s="38">
        <f t="shared" si="38"/>
        <v>-2572.8175989843762</v>
      </c>
      <c r="S49" s="38">
        <f t="shared" si="38"/>
        <v>0</v>
      </c>
      <c r="T49" s="38">
        <f t="shared" si="38"/>
        <v>0</v>
      </c>
      <c r="U49" s="38">
        <f t="shared" si="38"/>
        <v>0</v>
      </c>
      <c r="V49" s="38">
        <f t="shared" si="38"/>
        <v>0</v>
      </c>
      <c r="W49" s="38">
        <f>W23+W25+W27</f>
        <v>0</v>
      </c>
      <c r="X49" s="38">
        <f>X23+X25+X27</f>
        <v>0</v>
      </c>
      <c r="Y49" s="38">
        <f>Y23+Y25+Y27</f>
        <v>0</v>
      </c>
      <c r="Z49" s="38">
        <f>Z23+Z25+Z27</f>
        <v>0</v>
      </c>
    </row>
    <row r="50" spans="1:26" x14ac:dyDescent="0.2">
      <c r="A50" s="9" t="s">
        <v>7</v>
      </c>
      <c r="B50" s="4">
        <f>SUM(C50:Z50)</f>
        <v>319316.59662307118</v>
      </c>
      <c r="C50" s="38">
        <f t="shared" ref="C50:X50" si="39">C48+C49</f>
        <v>0</v>
      </c>
      <c r="D50" s="38">
        <f t="shared" si="39"/>
        <v>0</v>
      </c>
      <c r="E50" s="38">
        <f t="shared" si="39"/>
        <v>0</v>
      </c>
      <c r="F50" s="38">
        <f t="shared" si="39"/>
        <v>0</v>
      </c>
      <c r="G50" s="38">
        <f t="shared" si="39"/>
        <v>0</v>
      </c>
      <c r="H50" s="38">
        <f t="shared" si="39"/>
        <v>0</v>
      </c>
      <c r="I50" s="38">
        <f t="shared" si="39"/>
        <v>0</v>
      </c>
      <c r="J50" s="38">
        <f t="shared" si="39"/>
        <v>-13721.693861250002</v>
      </c>
      <c r="K50" s="38">
        <f t="shared" si="39"/>
        <v>-13721.693861250002</v>
      </c>
      <c r="L50" s="38">
        <f t="shared" si="39"/>
        <v>-17877.818464524171</v>
      </c>
      <c r="M50" s="38">
        <f t="shared" si="39"/>
        <v>-12248.292134093048</v>
      </c>
      <c r="N50" s="38">
        <f t="shared" si="39"/>
        <v>-11672.464351194692</v>
      </c>
      <c r="O50" s="38">
        <f t="shared" si="39"/>
        <v>-11061.98825560906</v>
      </c>
      <c r="P50" s="38">
        <f t="shared" si="39"/>
        <v>-10415.541955611421</v>
      </c>
      <c r="Q50" s="38">
        <f t="shared" si="39"/>
        <v>94836.28956733318</v>
      </c>
      <c r="R50" s="38">
        <f t="shared" si="39"/>
        <v>101778.29522133425</v>
      </c>
      <c r="S50" s="38">
        <f t="shared" si="39"/>
        <v>105916.37951262339</v>
      </c>
      <c r="T50" s="38">
        <f t="shared" si="39"/>
        <v>107505.12520531272</v>
      </c>
      <c r="U50" s="38">
        <f t="shared" si="39"/>
        <v>0</v>
      </c>
      <c r="V50" s="38">
        <f t="shared" si="39"/>
        <v>0</v>
      </c>
      <c r="W50" s="38">
        <f t="shared" si="39"/>
        <v>0</v>
      </c>
      <c r="X50" s="38">
        <f t="shared" si="39"/>
        <v>0</v>
      </c>
      <c r="Y50" s="38">
        <f t="shared" ref="Y50:Z50" si="40">Y48+Y49</f>
        <v>0</v>
      </c>
      <c r="Z50" s="38">
        <f t="shared" si="40"/>
        <v>0</v>
      </c>
    </row>
    <row r="51" spans="1:26" x14ac:dyDescent="0.2">
      <c r="A51" s="9" t="s">
        <v>8</v>
      </c>
      <c r="B51" s="4"/>
      <c r="C51" s="38">
        <f t="shared" ref="C51:X51" si="41">B51+C50</f>
        <v>0</v>
      </c>
      <c r="D51" s="38">
        <f t="shared" si="41"/>
        <v>0</v>
      </c>
      <c r="E51" s="38">
        <f t="shared" si="41"/>
        <v>0</v>
      </c>
      <c r="F51" s="38">
        <f t="shared" si="41"/>
        <v>0</v>
      </c>
      <c r="G51" s="38">
        <f t="shared" si="41"/>
        <v>0</v>
      </c>
      <c r="H51" s="38">
        <f t="shared" si="41"/>
        <v>0</v>
      </c>
      <c r="I51" s="38">
        <f t="shared" si="41"/>
        <v>0</v>
      </c>
      <c r="J51" s="38">
        <f t="shared" si="41"/>
        <v>-13721.693861250002</v>
      </c>
      <c r="K51" s="38">
        <f t="shared" si="41"/>
        <v>-27443.387722500003</v>
      </c>
      <c r="L51" s="38">
        <f t="shared" si="41"/>
        <v>-45321.206187024174</v>
      </c>
      <c r="M51" s="38">
        <f t="shared" si="41"/>
        <v>-57569.498321117222</v>
      </c>
      <c r="N51" s="38">
        <f t="shared" si="41"/>
        <v>-69241.962672311915</v>
      </c>
      <c r="O51" s="38">
        <f t="shared" si="41"/>
        <v>-80303.950927920974</v>
      </c>
      <c r="P51" s="38">
        <f t="shared" si="41"/>
        <v>-90719.492883532395</v>
      </c>
      <c r="Q51" s="38">
        <f t="shared" si="41"/>
        <v>4116.7966838007851</v>
      </c>
      <c r="R51" s="38">
        <f t="shared" si="41"/>
        <v>105895.09190513504</v>
      </c>
      <c r="S51" s="38">
        <f t="shared" si="41"/>
        <v>211811.47141775844</v>
      </c>
      <c r="T51" s="38">
        <f t="shared" si="41"/>
        <v>319316.59662307118</v>
      </c>
      <c r="U51" s="38">
        <f t="shared" si="41"/>
        <v>319316.59662307118</v>
      </c>
      <c r="V51" s="38">
        <f t="shared" si="41"/>
        <v>319316.59662307118</v>
      </c>
      <c r="W51" s="38">
        <f t="shared" si="41"/>
        <v>319316.59662307118</v>
      </c>
      <c r="X51" s="38">
        <f t="shared" si="41"/>
        <v>319316.59662307118</v>
      </c>
      <c r="Y51" s="38">
        <f t="shared" ref="Y51" si="42">X51+Y50</f>
        <v>319316.59662307118</v>
      </c>
      <c r="Z51" s="38">
        <f t="shared" ref="Z51" si="43">Y51+Z50</f>
        <v>319316.59662307118</v>
      </c>
    </row>
    <row r="52" spans="1:26" x14ac:dyDescent="0.2">
      <c r="A52" s="9" t="s">
        <v>9</v>
      </c>
      <c r="B52" s="4">
        <f>SUM(C52:Z52)</f>
        <v>319316.59662307118</v>
      </c>
      <c r="C52" s="38">
        <f t="shared" ref="C52:X52" si="44">MAX(MIN(C51,C50),0)</f>
        <v>0</v>
      </c>
      <c r="D52" s="38">
        <f t="shared" si="44"/>
        <v>0</v>
      </c>
      <c r="E52" s="38">
        <f t="shared" si="44"/>
        <v>0</v>
      </c>
      <c r="F52" s="38">
        <f t="shared" si="44"/>
        <v>0</v>
      </c>
      <c r="G52" s="38">
        <f t="shared" si="44"/>
        <v>0</v>
      </c>
      <c r="H52" s="38">
        <f t="shared" si="44"/>
        <v>0</v>
      </c>
      <c r="I52" s="38">
        <f t="shared" si="44"/>
        <v>0</v>
      </c>
      <c r="J52" s="38">
        <f t="shared" si="44"/>
        <v>0</v>
      </c>
      <c r="K52" s="38">
        <f t="shared" si="44"/>
        <v>0</v>
      </c>
      <c r="L52" s="38">
        <f t="shared" si="44"/>
        <v>0</v>
      </c>
      <c r="M52" s="38">
        <f t="shared" si="44"/>
        <v>0</v>
      </c>
      <c r="N52" s="38">
        <f t="shared" si="44"/>
        <v>0</v>
      </c>
      <c r="O52" s="38">
        <f t="shared" si="44"/>
        <v>0</v>
      </c>
      <c r="P52" s="38">
        <f t="shared" si="44"/>
        <v>0</v>
      </c>
      <c r="Q52" s="38">
        <f t="shared" si="44"/>
        <v>4116.7966838007851</v>
      </c>
      <c r="R52" s="38">
        <f t="shared" si="44"/>
        <v>101778.29522133425</v>
      </c>
      <c r="S52" s="38">
        <f t="shared" si="44"/>
        <v>105916.37951262339</v>
      </c>
      <c r="T52" s="38">
        <f t="shared" si="44"/>
        <v>107505.12520531272</v>
      </c>
      <c r="U52" s="38">
        <f t="shared" si="44"/>
        <v>0</v>
      </c>
      <c r="V52" s="38">
        <f t="shared" si="44"/>
        <v>0</v>
      </c>
      <c r="W52" s="38">
        <f t="shared" si="44"/>
        <v>0</v>
      </c>
      <c r="X52" s="38">
        <f t="shared" si="44"/>
        <v>0</v>
      </c>
      <c r="Y52" s="38">
        <f t="shared" ref="Y52:Z52" si="45">MAX(MIN(Y51,Y50),0)</f>
        <v>0</v>
      </c>
      <c r="Z52" s="38">
        <f t="shared" si="45"/>
        <v>0</v>
      </c>
    </row>
    <row r="53" spans="1:26" x14ac:dyDescent="0.2">
      <c r="A53" s="9" t="s">
        <v>10</v>
      </c>
      <c r="B53" s="4">
        <f>SUM(C53:Z53)</f>
        <v>-63863.319324614233</v>
      </c>
      <c r="C53" s="38">
        <f t="shared" ref="C53:Q53" si="46">-C52*0.2</f>
        <v>0</v>
      </c>
      <c r="D53" s="38">
        <f t="shared" si="46"/>
        <v>0</v>
      </c>
      <c r="E53" s="38">
        <f t="shared" si="46"/>
        <v>0</v>
      </c>
      <c r="F53" s="38">
        <f t="shared" si="46"/>
        <v>0</v>
      </c>
      <c r="G53" s="38">
        <f t="shared" si="46"/>
        <v>0</v>
      </c>
      <c r="H53" s="38">
        <f t="shared" si="46"/>
        <v>0</v>
      </c>
      <c r="I53" s="38">
        <f t="shared" si="46"/>
        <v>0</v>
      </c>
      <c r="J53" s="38">
        <f t="shared" si="46"/>
        <v>0</v>
      </c>
      <c r="K53" s="38">
        <f t="shared" si="46"/>
        <v>0</v>
      </c>
      <c r="L53" s="38">
        <f t="shared" si="46"/>
        <v>0</v>
      </c>
      <c r="M53" s="38">
        <f t="shared" si="46"/>
        <v>0</v>
      </c>
      <c r="N53" s="38">
        <f t="shared" si="46"/>
        <v>0</v>
      </c>
      <c r="O53" s="38">
        <f>-O52*0.2</f>
        <v>0</v>
      </c>
      <c r="P53" s="38">
        <f t="shared" si="46"/>
        <v>0</v>
      </c>
      <c r="Q53" s="38">
        <f t="shared" si="46"/>
        <v>-823.35933676015702</v>
      </c>
      <c r="R53" s="38">
        <f>-R52*0.2</f>
        <v>-20355.659044266853</v>
      </c>
      <c r="S53" s="38">
        <f t="shared" ref="S53:X53" si="47">-S52*0.2</f>
        <v>-21183.275902524678</v>
      </c>
      <c r="T53" s="38">
        <f t="shared" si="47"/>
        <v>-21501.025041062545</v>
      </c>
      <c r="U53" s="38">
        <f t="shared" si="47"/>
        <v>0</v>
      </c>
      <c r="V53" s="38">
        <f t="shared" si="47"/>
        <v>0</v>
      </c>
      <c r="W53" s="38">
        <f t="shared" si="47"/>
        <v>0</v>
      </c>
      <c r="X53" s="38">
        <f t="shared" si="47"/>
        <v>0</v>
      </c>
      <c r="Y53" s="38">
        <f t="shared" ref="Y53:Z53" si="48">-Y52*0.2</f>
        <v>0</v>
      </c>
      <c r="Z53" s="38">
        <f t="shared" si="48"/>
        <v>0</v>
      </c>
    </row>
    <row r="54" spans="1:26" x14ac:dyDescent="0.2">
      <c r="A54" s="9" t="s">
        <v>11</v>
      </c>
      <c r="B54" s="4">
        <f>SUM(C54:Z54)</f>
        <v>255453.27729845693</v>
      </c>
      <c r="C54" s="38">
        <f t="shared" ref="C54:X54" si="49">C50+C53</f>
        <v>0</v>
      </c>
      <c r="D54" s="38">
        <f t="shared" si="49"/>
        <v>0</v>
      </c>
      <c r="E54" s="38">
        <f t="shared" si="49"/>
        <v>0</v>
      </c>
      <c r="F54" s="38">
        <f t="shared" si="49"/>
        <v>0</v>
      </c>
      <c r="G54" s="38">
        <f t="shared" si="49"/>
        <v>0</v>
      </c>
      <c r="H54" s="38">
        <f t="shared" si="49"/>
        <v>0</v>
      </c>
      <c r="I54" s="38">
        <f t="shared" si="49"/>
        <v>0</v>
      </c>
      <c r="J54" s="38">
        <f t="shared" si="49"/>
        <v>-13721.693861250002</v>
      </c>
      <c r="K54" s="38">
        <f t="shared" si="49"/>
        <v>-13721.693861250002</v>
      </c>
      <c r="L54" s="38">
        <f t="shared" si="49"/>
        <v>-17877.818464524171</v>
      </c>
      <c r="M54" s="38">
        <f t="shared" si="49"/>
        <v>-12248.292134093048</v>
      </c>
      <c r="N54" s="38">
        <f t="shared" si="49"/>
        <v>-11672.464351194692</v>
      </c>
      <c r="O54" s="38">
        <f t="shared" si="49"/>
        <v>-11061.98825560906</v>
      </c>
      <c r="P54" s="38">
        <f t="shared" si="49"/>
        <v>-10415.541955611421</v>
      </c>
      <c r="Q54" s="38">
        <f t="shared" si="49"/>
        <v>94012.930230573023</v>
      </c>
      <c r="R54" s="38">
        <f t="shared" si="49"/>
        <v>81422.636177067398</v>
      </c>
      <c r="S54" s="38">
        <f t="shared" si="49"/>
        <v>84733.103610098711</v>
      </c>
      <c r="T54" s="38">
        <f t="shared" si="49"/>
        <v>86004.10016425018</v>
      </c>
      <c r="U54" s="38">
        <f t="shared" si="49"/>
        <v>0</v>
      </c>
      <c r="V54" s="38">
        <f t="shared" si="49"/>
        <v>0</v>
      </c>
      <c r="W54" s="38">
        <f t="shared" si="49"/>
        <v>0</v>
      </c>
      <c r="X54" s="38">
        <f t="shared" si="49"/>
        <v>0</v>
      </c>
      <c r="Y54" s="38">
        <f t="shared" ref="Y54:Z54" si="50">Y50+Y53</f>
        <v>0</v>
      </c>
      <c r="Z54" s="38">
        <f t="shared" si="50"/>
        <v>0</v>
      </c>
    </row>
    <row r="55" spans="1:26" x14ac:dyDescent="0.2">
      <c r="A55" s="9" t="s">
        <v>8</v>
      </c>
      <c r="B55" s="4"/>
      <c r="C55" s="38">
        <f t="shared" ref="C55:X55" si="51">B55+C54</f>
        <v>0</v>
      </c>
      <c r="D55" s="38">
        <f t="shared" si="51"/>
        <v>0</v>
      </c>
      <c r="E55" s="38">
        <f t="shared" si="51"/>
        <v>0</v>
      </c>
      <c r="F55" s="38">
        <f t="shared" si="51"/>
        <v>0</v>
      </c>
      <c r="G55" s="38">
        <f t="shared" si="51"/>
        <v>0</v>
      </c>
      <c r="H55" s="38">
        <f t="shared" si="51"/>
        <v>0</v>
      </c>
      <c r="I55" s="38">
        <f t="shared" si="51"/>
        <v>0</v>
      </c>
      <c r="J55" s="38">
        <f t="shared" si="51"/>
        <v>-13721.693861250002</v>
      </c>
      <c r="K55" s="38">
        <f t="shared" si="51"/>
        <v>-27443.387722500003</v>
      </c>
      <c r="L55" s="38">
        <f t="shared" si="51"/>
        <v>-45321.206187024174</v>
      </c>
      <c r="M55" s="38">
        <f t="shared" si="51"/>
        <v>-57569.498321117222</v>
      </c>
      <c r="N55" s="38">
        <f t="shared" si="51"/>
        <v>-69241.962672311915</v>
      </c>
      <c r="O55" s="38">
        <f t="shared" si="51"/>
        <v>-80303.950927920974</v>
      </c>
      <c r="P55" s="38">
        <f t="shared" si="51"/>
        <v>-90719.492883532395</v>
      </c>
      <c r="Q55" s="38">
        <f t="shared" si="51"/>
        <v>3293.4373470406281</v>
      </c>
      <c r="R55" s="38">
        <f t="shared" si="51"/>
        <v>84716.073524108026</v>
      </c>
      <c r="S55" s="38">
        <f t="shared" si="51"/>
        <v>169449.17713420675</v>
      </c>
      <c r="T55" s="38">
        <f t="shared" si="51"/>
        <v>255453.27729845693</v>
      </c>
      <c r="U55" s="38">
        <f t="shared" si="51"/>
        <v>255453.27729845693</v>
      </c>
      <c r="V55" s="38">
        <f t="shared" si="51"/>
        <v>255453.27729845693</v>
      </c>
      <c r="W55" s="38">
        <f t="shared" si="51"/>
        <v>255453.27729845693</v>
      </c>
      <c r="X55" s="38">
        <f t="shared" si="51"/>
        <v>255453.27729845693</v>
      </c>
      <c r="Y55" s="38">
        <f t="shared" ref="Y55" si="52">X55+Y54</f>
        <v>255453.27729845693</v>
      </c>
      <c r="Z55" s="38">
        <f t="shared" ref="Z55" si="53">Y55+Z54</f>
        <v>255453.27729845693</v>
      </c>
    </row>
    <row r="56" spans="1:26" x14ac:dyDescent="0.2">
      <c r="A56" s="21"/>
      <c r="B56" s="22">
        <f>IFERROR(B53/B52,0)</f>
        <v>-0.19999999999999998</v>
      </c>
      <c r="C56" s="22"/>
      <c r="D56" s="22"/>
      <c r="E56" s="22"/>
      <c r="F56" s="22"/>
      <c r="G56" s="23"/>
      <c r="H56" s="23"/>
      <c r="I56" s="23"/>
      <c r="J56" s="24"/>
      <c r="K56" s="24"/>
      <c r="L56" s="24"/>
      <c r="M56" s="24"/>
      <c r="N56" s="24"/>
      <c r="O56" s="24"/>
      <c r="P56" s="24"/>
    </row>
    <row r="57" spans="1:26" hidden="1" x14ac:dyDescent="0.2"/>
    <row r="58" spans="1:26" hidden="1" x14ac:dyDescent="0.2"/>
    <row r="59" spans="1:26" x14ac:dyDescent="0.2"/>
    <row r="60" spans="1:26" x14ac:dyDescent="0.2"/>
  </sheetData>
  <mergeCells count="6">
    <mergeCell ref="W10:Z10"/>
    <mergeCell ref="C10:F10"/>
    <mergeCell ref="G10:J10"/>
    <mergeCell ref="K10:N10"/>
    <mergeCell ref="O10:R10"/>
    <mergeCell ref="S10:V10"/>
  </mergeCells>
  <conditionalFormatting sqref="B33:Z33">
    <cfRule type="cellIs" dxfId="375" priority="47" operator="equal">
      <formula>0</formula>
    </cfRule>
  </conditionalFormatting>
  <conditionalFormatting sqref="W23:Z23">
    <cfRule type="cellIs" dxfId="374" priority="46" operator="equal">
      <formula>0</formula>
    </cfRule>
  </conditionalFormatting>
  <conditionalFormatting sqref="W25:Z25">
    <cfRule type="cellIs" dxfId="373" priority="45" operator="equal">
      <formula>0</formula>
    </cfRule>
  </conditionalFormatting>
  <conditionalFormatting sqref="W26:Z26">
    <cfRule type="cellIs" dxfId="372" priority="44" operator="equal">
      <formula>0</formula>
    </cfRule>
  </conditionalFormatting>
  <conditionalFormatting sqref="B31:Z31">
    <cfRule type="cellIs" dxfId="371" priority="58" operator="equal">
      <formula>0</formula>
    </cfRule>
  </conditionalFormatting>
  <conditionalFormatting sqref="B32:Z32">
    <cfRule type="cellIs" dxfId="370" priority="57" operator="equal">
      <formula>0</formula>
    </cfRule>
  </conditionalFormatting>
  <conditionalFormatting sqref="B35:Z35">
    <cfRule type="cellIs" dxfId="369" priority="56" operator="equal">
      <formula>0</formula>
    </cfRule>
  </conditionalFormatting>
  <conditionalFormatting sqref="B36:Z36">
    <cfRule type="cellIs" dxfId="368" priority="55" operator="equal">
      <formula>0</formula>
    </cfRule>
  </conditionalFormatting>
  <conditionalFormatting sqref="B37:Z37">
    <cfRule type="cellIs" dxfId="367" priority="54" operator="equal">
      <formula>0</formula>
    </cfRule>
  </conditionalFormatting>
  <conditionalFormatting sqref="B38:Z38 W39:Z39">
    <cfRule type="cellIs" dxfId="366" priority="53" operator="equal">
      <formula>0</formula>
    </cfRule>
  </conditionalFormatting>
  <conditionalFormatting sqref="B41:Z41">
    <cfRule type="cellIs" dxfId="365" priority="52" operator="equal">
      <formula>0</formula>
    </cfRule>
  </conditionalFormatting>
  <conditionalFormatting sqref="B43:Z43">
    <cfRule type="cellIs" dxfId="364" priority="51" operator="equal">
      <formula>0</formula>
    </cfRule>
  </conditionalFormatting>
  <conditionalFormatting sqref="B45:Z45">
    <cfRule type="cellIs" dxfId="363" priority="50" operator="equal">
      <formula>0</formula>
    </cfRule>
  </conditionalFormatting>
  <conditionalFormatting sqref="B46:Z46">
    <cfRule type="cellIs" dxfId="362" priority="49" operator="equal">
      <formula>0</formula>
    </cfRule>
  </conditionalFormatting>
  <conditionalFormatting sqref="B48:Z48 B50:Z55 W49:Z49">
    <cfRule type="cellIs" dxfId="361" priority="48" operator="equal">
      <formula>0</formula>
    </cfRule>
  </conditionalFormatting>
  <conditionalFormatting sqref="B17:Z17 B19:Z21 B18:F18">
    <cfRule type="cellIs" dxfId="360" priority="63" operator="equal">
      <formula>0</formula>
    </cfRule>
  </conditionalFormatting>
  <conditionalFormatting sqref="W27:Z29">
    <cfRule type="cellIs" dxfId="359" priority="43" operator="equal">
      <formula>0</formula>
    </cfRule>
  </conditionalFormatting>
  <conditionalFormatting sqref="C18:Z18">
    <cfRule type="cellIs" dxfId="358" priority="42" operator="equal">
      <formula>0</formula>
    </cfRule>
  </conditionalFormatting>
  <conditionalFormatting sqref="B39:V39">
    <cfRule type="cellIs" dxfId="357" priority="41" operator="equal">
      <formula>0</formula>
    </cfRule>
  </conditionalFormatting>
  <conditionalFormatting sqref="B23:F23">
    <cfRule type="cellIs" dxfId="356" priority="40" operator="equal">
      <formula>0</formula>
    </cfRule>
  </conditionalFormatting>
  <conditionalFormatting sqref="B25:F25">
    <cfRule type="cellIs" dxfId="355" priority="39" operator="equal">
      <formula>0</formula>
    </cfRule>
  </conditionalFormatting>
  <conditionalFormatting sqref="B26:F26">
    <cfRule type="cellIs" dxfId="354" priority="38" operator="equal">
      <formula>0</formula>
    </cfRule>
  </conditionalFormatting>
  <conditionalFormatting sqref="B27:F27 B28:C28 B29">
    <cfRule type="cellIs" dxfId="353" priority="37" operator="equal">
      <formula>0</formula>
    </cfRule>
  </conditionalFormatting>
  <conditionalFormatting sqref="G23:V23">
    <cfRule type="cellIs" dxfId="352" priority="36" operator="equal">
      <formula>0</formula>
    </cfRule>
  </conditionalFormatting>
  <conditionalFormatting sqref="C25:V25">
    <cfRule type="cellIs" dxfId="351" priority="35" operator="equal">
      <formula>0</formula>
    </cfRule>
  </conditionalFormatting>
  <conditionalFormatting sqref="G26:V26">
    <cfRule type="cellIs" dxfId="350" priority="34" operator="equal">
      <formula>0</formula>
    </cfRule>
  </conditionalFormatting>
  <conditionalFormatting sqref="G27:V27 D28:V29">
    <cfRule type="cellIs" dxfId="349" priority="33" operator="equal">
      <formula>0</formula>
    </cfRule>
  </conditionalFormatting>
  <conditionalFormatting sqref="C29">
    <cfRule type="cellIs" dxfId="348" priority="29" operator="equal">
      <formula>0</formula>
    </cfRule>
  </conditionalFormatting>
  <conditionalFormatting sqref="F29">
    <cfRule type="cellIs" dxfId="347" priority="32" operator="equal">
      <formula>0</formula>
    </cfRule>
  </conditionalFormatting>
  <conditionalFormatting sqref="E29">
    <cfRule type="cellIs" dxfId="346" priority="31" operator="equal">
      <formula>0</formula>
    </cfRule>
  </conditionalFormatting>
  <conditionalFormatting sqref="D29">
    <cfRule type="cellIs" dxfId="345" priority="30" operator="equal">
      <formula>0</formula>
    </cfRule>
  </conditionalFormatting>
  <conditionalFormatting sqref="D28">
    <cfRule type="cellIs" dxfId="344" priority="26" operator="equal">
      <formula>0</formula>
    </cfRule>
  </conditionalFormatting>
  <conditionalFormatting sqref="F28">
    <cfRule type="cellIs" dxfId="343" priority="28" operator="equal">
      <formula>0</formula>
    </cfRule>
  </conditionalFormatting>
  <conditionalFormatting sqref="E28">
    <cfRule type="cellIs" dxfId="342" priority="27" operator="equal">
      <formula>0</formula>
    </cfRule>
  </conditionalFormatting>
  <conditionalFormatting sqref="B49:V49">
    <cfRule type="cellIs" dxfId="341" priority="25" operator="equal">
      <formula>0</formula>
    </cfRule>
  </conditionalFormatting>
  <conditionalFormatting sqref="B24">
    <cfRule type="cellIs" dxfId="340" priority="24" operator="equal">
      <formula>0</formula>
    </cfRule>
  </conditionalFormatting>
  <conditionalFormatting sqref="S24:Z24">
    <cfRule type="cellIs" dxfId="339" priority="23" operator="equal">
      <formula>0</formula>
    </cfRule>
  </conditionalFormatting>
  <conditionalFormatting sqref="S24:V24">
    <cfRule type="cellIs" dxfId="338" priority="22" operator="equal">
      <formula>0</formula>
    </cfRule>
  </conditionalFormatting>
  <conditionalFormatting sqref="S24:Z24">
    <cfRule type="cellIs" dxfId="337" priority="21" operator="equal">
      <formula>0</formula>
    </cfRule>
  </conditionalFormatting>
  <conditionalFormatting sqref="S24:Z24">
    <cfRule type="cellIs" dxfId="336" priority="20" operator="equal">
      <formula>0</formula>
    </cfRule>
  </conditionalFormatting>
  <conditionalFormatting sqref="S24:Z24">
    <cfRule type="cellIs" dxfId="335" priority="19" operator="equal">
      <formula>0</formula>
    </cfRule>
  </conditionalFormatting>
  <conditionalFormatting sqref="G24">
    <cfRule type="cellIs" dxfId="334" priority="8" operator="equal">
      <formula>0</formula>
    </cfRule>
  </conditionalFormatting>
  <conditionalFormatting sqref="H24">
    <cfRule type="cellIs" dxfId="333" priority="7" operator="equal">
      <formula>0</formula>
    </cfRule>
  </conditionalFormatting>
  <conditionalFormatting sqref="I24">
    <cfRule type="cellIs" dxfId="332" priority="6" operator="equal">
      <formula>0</formula>
    </cfRule>
  </conditionalFormatting>
  <conditionalFormatting sqref="J24">
    <cfRule type="cellIs" dxfId="331" priority="5" operator="equal">
      <formula>0</formula>
    </cfRule>
  </conditionalFormatting>
  <conditionalFormatting sqref="G24">
    <cfRule type="cellIs" dxfId="330" priority="4" operator="equal">
      <formula>0</formula>
    </cfRule>
  </conditionalFormatting>
  <conditionalFormatting sqref="F24">
    <cfRule type="cellIs" dxfId="329" priority="3" operator="equal">
      <formula>0</formula>
    </cfRule>
  </conditionalFormatting>
  <conditionalFormatting sqref="S24:Z24">
    <cfRule type="cellIs" dxfId="328" priority="12" operator="equal">
      <formula>0</formula>
    </cfRule>
  </conditionalFormatting>
  <conditionalFormatting sqref="C24:V24">
    <cfRule type="cellIs" dxfId="327" priority="11" operator="equal">
      <formula>0</formula>
    </cfRule>
  </conditionalFormatting>
  <conditionalFormatting sqref="C24:V24">
    <cfRule type="cellIs" dxfId="326" priority="10" operator="equal">
      <formula>0</formula>
    </cfRule>
  </conditionalFormatting>
  <conditionalFormatting sqref="C24:V24">
    <cfRule type="cellIs" dxfId="325" priority="9" operator="equal">
      <formula>0</formula>
    </cfRule>
  </conditionalFormatting>
  <conditionalFormatting sqref="C24:V24">
    <cfRule type="cellIs" dxfId="324" priority="2" operator="equal">
      <formula>0</formula>
    </cfRule>
  </conditionalFormatting>
  <conditionalFormatting sqref="C15:V15">
    <cfRule type="cellIs" dxfId="323" priority="1" operator="equal">
      <formula>0</formula>
    </cfRule>
  </conditionalFormatting>
  <pageMargins left="0.52" right="0.52" top="0.62" bottom="0.3937007874015748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60"/>
  <sheetViews>
    <sheetView zoomScale="70" zoomScaleNormal="70" zoomScaleSheetLayoutView="70" workbookViewId="0">
      <selection activeCell="B4" sqref="B4"/>
    </sheetView>
  </sheetViews>
  <sheetFormatPr defaultColWidth="0" defaultRowHeight="12.75" zeroHeight="1" outlineLevelCol="1" x14ac:dyDescent="0.2"/>
  <cols>
    <col min="1" max="1" width="36.42578125" bestFit="1" customWidth="1"/>
    <col min="2" max="2" width="14.140625" style="7" customWidth="1"/>
    <col min="3" max="4" width="9.28515625" style="7" hidden="1" customWidth="1" outlineLevel="1"/>
    <col min="5" max="5" width="9.28515625" style="7" bestFit="1" customWidth="1" collapsed="1"/>
    <col min="6" max="6" width="9.28515625" style="7" bestFit="1" customWidth="1"/>
    <col min="7" max="7" width="9.28515625" style="12" bestFit="1" customWidth="1"/>
    <col min="8" max="9" width="9.28515625" style="12" customWidth="1"/>
    <col min="10" max="22" width="9.28515625" bestFit="1" customWidth="1"/>
    <col min="23" max="26" width="9.28515625" hidden="1" customWidth="1"/>
    <col min="27" max="16384" width="9.140625" hidden="1"/>
  </cols>
  <sheetData>
    <row r="1" spans="1:26" ht="20.25" x14ac:dyDescent="0.3">
      <c r="A1" s="33" t="s">
        <v>88</v>
      </c>
      <c r="Q1" s="156">
        <f>B24/B23</f>
        <v>3.9922872967251881E-2</v>
      </c>
      <c r="R1" s="155">
        <v>7.8983876305300134E-3</v>
      </c>
    </row>
    <row r="2" spans="1:26" x14ac:dyDescent="0.2">
      <c r="A2" s="50" t="s">
        <v>113</v>
      </c>
      <c r="B2" s="53"/>
      <c r="C2" s="53"/>
      <c r="D2" s="53"/>
      <c r="E2" s="53"/>
      <c r="F2" s="53"/>
      <c r="G2" s="68"/>
      <c r="H2" s="23"/>
      <c r="I2" s="23"/>
      <c r="J2" s="24"/>
    </row>
    <row r="3" spans="1:26" x14ac:dyDescent="0.2">
      <c r="A3" s="50"/>
      <c r="B3" s="53"/>
      <c r="C3" s="53"/>
      <c r="D3" s="53"/>
      <c r="E3" s="53"/>
      <c r="F3" s="53"/>
      <c r="G3" s="69"/>
      <c r="H3" s="31"/>
      <c r="J3" s="12"/>
    </row>
    <row r="4" spans="1:26" x14ac:dyDescent="0.2">
      <c r="A4" s="60" t="s">
        <v>56</v>
      </c>
      <c r="B4" s="55">
        <f>'Э3 (СЗ)'!B4*(1+ИДиР!B27/2)</f>
        <v>41.523626</v>
      </c>
      <c r="C4" s="53"/>
      <c r="D4" s="53"/>
      <c r="E4" s="53"/>
      <c r="F4" s="50"/>
      <c r="G4" s="96"/>
      <c r="H4"/>
      <c r="I4"/>
    </row>
    <row r="5" spans="1:26" x14ac:dyDescent="0.2">
      <c r="A5" s="60" t="s">
        <v>48</v>
      </c>
      <c r="B5" s="37">
        <f>ИДиР!F7</f>
        <v>13614.75</v>
      </c>
      <c r="C5" s="53"/>
      <c r="D5" s="53"/>
      <c r="E5" s="53"/>
      <c r="F5" s="50"/>
      <c r="G5" s="50"/>
      <c r="H5"/>
      <c r="I5"/>
    </row>
    <row r="6" spans="1:26" x14ac:dyDescent="0.2">
      <c r="A6" s="60" t="s">
        <v>151</v>
      </c>
      <c r="B6" s="37">
        <f>B4*B5</f>
        <v>565333.78708349995</v>
      </c>
      <c r="C6" s="53"/>
      <c r="D6" s="53"/>
      <c r="E6" s="53"/>
      <c r="F6" s="50"/>
      <c r="G6" s="50"/>
      <c r="H6"/>
      <c r="I6"/>
      <c r="N6" s="52"/>
    </row>
    <row r="7" spans="1:26" x14ac:dyDescent="0.2">
      <c r="A7" s="70" t="s">
        <v>149</v>
      </c>
      <c r="B7" s="71">
        <f>B6*ИДиР!F11</f>
        <v>28266.689354175</v>
      </c>
      <c r="C7" s="53"/>
      <c r="D7" s="53"/>
      <c r="E7" s="53"/>
      <c r="F7" s="72"/>
      <c r="G7" s="72"/>
      <c r="H7" s="52"/>
      <c r="I7" s="52"/>
      <c r="J7" s="52"/>
      <c r="K7" s="52"/>
      <c r="M7" s="52"/>
    </row>
    <row r="8" spans="1:26" x14ac:dyDescent="0.2">
      <c r="A8" s="60" t="s">
        <v>49</v>
      </c>
      <c r="B8" s="73">
        <f>ИДиР!F13</f>
        <v>0.5</v>
      </c>
      <c r="C8" s="53"/>
      <c r="D8" s="53"/>
      <c r="E8" s="53"/>
      <c r="F8" s="50"/>
      <c r="G8" s="50"/>
      <c r="H8"/>
      <c r="M8" s="52"/>
    </row>
    <row r="9" spans="1:26" x14ac:dyDescent="0.2"/>
    <row r="10" spans="1:26" s="63" customFormat="1" ht="15" x14ac:dyDescent="0.25">
      <c r="A10" s="61" t="s">
        <v>59</v>
      </c>
      <c r="B10" s="62"/>
      <c r="C10" s="194">
        <v>2020</v>
      </c>
      <c r="D10" s="194"/>
      <c r="E10" s="194"/>
      <c r="F10" s="194"/>
      <c r="G10" s="194">
        <f>C10+1</f>
        <v>2021</v>
      </c>
      <c r="H10" s="194"/>
      <c r="I10" s="194"/>
      <c r="J10" s="194"/>
      <c r="K10" s="194">
        <f>G10+1</f>
        <v>2022</v>
      </c>
      <c r="L10" s="194"/>
      <c r="M10" s="194"/>
      <c r="N10" s="194"/>
      <c r="O10" s="194">
        <f>K10+1</f>
        <v>2023</v>
      </c>
      <c r="P10" s="194"/>
      <c r="Q10" s="194"/>
      <c r="R10" s="194"/>
      <c r="S10" s="194">
        <f>O10+1</f>
        <v>2024</v>
      </c>
      <c r="T10" s="194"/>
      <c r="U10" s="194"/>
      <c r="V10" s="194"/>
      <c r="W10" s="194">
        <f>S10+1</f>
        <v>2025</v>
      </c>
      <c r="X10" s="194"/>
      <c r="Y10" s="194"/>
      <c r="Z10" s="194"/>
    </row>
    <row r="11" spans="1:26" s="63" customFormat="1" ht="15" x14ac:dyDescent="0.25">
      <c r="A11" s="64" t="str">
        <f>A1</f>
        <v>Финансовая модель реализации проектов строительства жилья специализированным застройщиком</v>
      </c>
      <c r="B11" s="62"/>
      <c r="C11" s="62" t="s">
        <v>15</v>
      </c>
      <c r="D11" s="62" t="s">
        <v>16</v>
      </c>
      <c r="E11" s="62" t="s">
        <v>17</v>
      </c>
      <c r="F11" s="62" t="s">
        <v>18</v>
      </c>
      <c r="G11" s="62" t="s">
        <v>15</v>
      </c>
      <c r="H11" s="62" t="s">
        <v>16</v>
      </c>
      <c r="I11" s="62" t="s">
        <v>17</v>
      </c>
      <c r="J11" s="62" t="s">
        <v>18</v>
      </c>
      <c r="K11" s="62" t="s">
        <v>15</v>
      </c>
      <c r="L11" s="62" t="s">
        <v>16</v>
      </c>
      <c r="M11" s="62" t="s">
        <v>17</v>
      </c>
      <c r="N11" s="62" t="s">
        <v>18</v>
      </c>
      <c r="O11" s="62" t="s">
        <v>15</v>
      </c>
      <c r="P11" s="62" t="s">
        <v>16</v>
      </c>
      <c r="Q11" s="62" t="s">
        <v>17</v>
      </c>
      <c r="R11" s="62" t="s">
        <v>18</v>
      </c>
      <c r="S11" s="62" t="s">
        <v>15</v>
      </c>
      <c r="T11" s="62" t="s">
        <v>16</v>
      </c>
      <c r="U11" s="62" t="s">
        <v>17</v>
      </c>
      <c r="V11" s="62" t="s">
        <v>18</v>
      </c>
      <c r="W11" s="62" t="s">
        <v>15</v>
      </c>
      <c r="X11" s="62" t="s">
        <v>16</v>
      </c>
      <c r="Y11" s="62" t="s">
        <v>17</v>
      </c>
      <c r="Z11" s="62" t="s">
        <v>18</v>
      </c>
    </row>
    <row r="12" spans="1:26" x14ac:dyDescent="0.2">
      <c r="A12" s="36" t="s">
        <v>52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 t="s">
        <v>19</v>
      </c>
      <c r="M12" s="35" t="s">
        <v>19</v>
      </c>
      <c r="N12" s="35" t="s">
        <v>19</v>
      </c>
      <c r="O12" s="35" t="s">
        <v>19</v>
      </c>
      <c r="P12" s="35" t="s">
        <v>19</v>
      </c>
      <c r="Q12" s="35" t="s">
        <v>19</v>
      </c>
      <c r="R12" s="35" t="s">
        <v>19</v>
      </c>
      <c r="S12" s="35" t="s">
        <v>53</v>
      </c>
      <c r="T12" s="35" t="s">
        <v>53</v>
      </c>
      <c r="U12" s="35" t="s">
        <v>53</v>
      </c>
      <c r="V12" s="35" t="s">
        <v>53</v>
      </c>
      <c r="W12" s="35"/>
      <c r="X12" s="35"/>
      <c r="Y12" s="35"/>
      <c r="Z12" s="35"/>
    </row>
    <row r="13" spans="1:26" x14ac:dyDescent="0.2">
      <c r="A13" s="36" t="s">
        <v>83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 t="s">
        <v>54</v>
      </c>
      <c r="M13" s="35" t="s">
        <v>54</v>
      </c>
      <c r="N13" s="35" t="s">
        <v>55</v>
      </c>
      <c r="O13" s="35" t="s">
        <v>55</v>
      </c>
      <c r="P13" s="35" t="s">
        <v>55</v>
      </c>
      <c r="Q13" s="35" t="s">
        <v>55</v>
      </c>
      <c r="R13" s="35" t="s">
        <v>55</v>
      </c>
      <c r="S13" s="35" t="s">
        <v>55</v>
      </c>
      <c r="T13" s="35" t="s">
        <v>55</v>
      </c>
      <c r="U13" s="35" t="s">
        <v>55</v>
      </c>
      <c r="V13" s="35" t="s">
        <v>55</v>
      </c>
      <c r="W13" s="35"/>
      <c r="X13" s="35"/>
      <c r="Y13" s="35"/>
      <c r="Z13" s="35"/>
    </row>
    <row r="14" spans="1:26" x14ac:dyDescent="0.2">
      <c r="A14" s="36" t="s">
        <v>45</v>
      </c>
      <c r="B14" s="51">
        <f>B17/B5</f>
        <v>66.488637598226134</v>
      </c>
      <c r="C14" s="35">
        <f>'Э3 (СЗ)'!C14*(1+ИДиР!B27/2*0)</f>
        <v>57.3</v>
      </c>
      <c r="D14" s="35">
        <f>IF(D12="С",C14*(1+ИДиР!$B$26/4),IF(D12="Э",MAX(C14*(1+ИДиР!$B$27/4),51),MAX(51,C14)))</f>
        <v>57.3</v>
      </c>
      <c r="E14" s="35">
        <f>IF(E12="С",D14*(1+ИДиР!$B$26/4),IF(E12="Э",MAX(D14*(1+ИДиР!$B$27/4),51),MAX(51,D14)))</f>
        <v>57.3</v>
      </c>
      <c r="F14" s="35">
        <f>IF(F12="С",E14*(1+ИДиР!$B$26/4),IF(F12="Э",MAX(E14*(1+ИДиР!$B$27/4),51),MAX(51,E14)))</f>
        <v>57.3</v>
      </c>
      <c r="G14" s="35">
        <f>IF(G12="С",F14*(1+ИДиР!$B$26/4),IF(G12="Э",MAX(F14*(1+ИДиР!$B$27/4),51),MAX(51,F14)))</f>
        <v>57.3</v>
      </c>
      <c r="H14" s="35">
        <f>IF(H12="С",G14*(1+ИДиР!$B$26/4),IF(H12="Э",MAX(G14*(1+ИДиР!$B$27/4),51),MAX(51,G14)))</f>
        <v>57.3</v>
      </c>
      <c r="I14" s="35">
        <f>IF(I12="С",H14*(1+ИДиР!$B$26/4),IF(I12="Э",MAX(H14*(1+ИДиР!$B$27/4),51),MAX(51,H14)))</f>
        <v>57.3</v>
      </c>
      <c r="J14" s="35">
        <f>IF(J12="С",I14*(1+ИДиР!$B$26/4),IF(J12="Э",MAX(I14*(1+ИДиР!$B$27/4),51),MAX(51,I14)))</f>
        <v>57.3</v>
      </c>
      <c r="K14" s="35">
        <f>IF(K12="С",J14*(1+ИДиР!$B$26/4),IF(K12="Э",MAX(J14*(1+ИДиР!$B$27/4),51),MAX(51,J14)))</f>
        <v>57.3</v>
      </c>
      <c r="L14" s="35">
        <f>IF(L12="С",K14*(1+ИДиР!$B$26/4),IF(L12="Э",MAX(K14*(1+ИДиР!$B$27/4),51),MAX(51,K14)))</f>
        <v>58.589249999999993</v>
      </c>
      <c r="M14" s="35">
        <f>IF(M12="С",L14*(1+ИДиР!$B$26/4),IF(M12="Э",MAX(L14*(1+ИДиР!$B$27/4),51),MAX(51,L14)))</f>
        <v>59.907508124999993</v>
      </c>
      <c r="N14" s="35">
        <f>IF(N12="С",M14*(1+ИДиР!$B$26/4),IF(N12="Э",MAX(M14*(1+ИДиР!$B$27/4),51),MAX(51,M14)))</f>
        <v>61.25542705781249</v>
      </c>
      <c r="O14" s="35">
        <f>IF(O12="С",N14*(1+ИДиР!$B$26/4),IF(O12="Э",MAX(N14*(1+ИДиР!$B$27/4),51),MAX(51,N14)))</f>
        <v>62.633674166613268</v>
      </c>
      <c r="P14" s="35">
        <f>IF(P12="С",O14*(1+ИДиР!$B$26/4),IF(P12="Э",MAX(O14*(1+ИДиР!$B$27/4),51),MAX(51,O14)))</f>
        <v>64.042931835362069</v>
      </c>
      <c r="Q14" s="35">
        <f>IF(Q12="С",P14*(1+ИДиР!$B$26/4),IF(Q12="Э",MAX(P14*(1+ИДиР!$B$27/4),51),MAX(51,P14)))</f>
        <v>65.483897801657719</v>
      </c>
      <c r="R14" s="35">
        <f>IF(R12="С",Q14*(1+ИДиР!$B$26/4),IF(R12="Э",MAX(Q14*(1+ИДиР!$B$27/4),51),MAX(51,Q14)))</f>
        <v>66.95728550219502</v>
      </c>
      <c r="S14" s="35">
        <f>IF(S12="С",R14*(1+ИДиР!$B$26/4),IF(S12="Э",MAX(R14*(1+ИДиР!$B$27/4),51),MAX(51,R14)))</f>
        <v>67.961644784727937</v>
      </c>
      <c r="T14" s="35">
        <f>IF(T12="С",S14*(1+ИДиР!$B$26/4),IF(T12="Э",MAX(S14*(1+ИДиР!$B$27/4),51),MAX(51,S14)))</f>
        <v>68.981069456498844</v>
      </c>
      <c r="U14" s="35">
        <f>IF(U12="С",T14*(1+ИДиР!$B$26/4),IF(U12="Э",MAX(T14*(1+ИДиР!$B$27/4),51),MAX(51,T14)))</f>
        <v>70.015785498346318</v>
      </c>
      <c r="V14" s="35">
        <f>IF(V12="С",U14*(1+ИДиР!$B$26/4),IF(V12="Э",MAX(U14*(1+ИДиР!$B$27/4),51),MAX(51,U14)))</f>
        <v>71.0660222808215</v>
      </c>
      <c r="W14" s="35">
        <f>Свод!W9</f>
        <v>72.66500778213998</v>
      </c>
      <c r="X14" s="35">
        <f>Свод!X9</f>
        <v>74.299970457238132</v>
      </c>
      <c r="Y14" s="35">
        <f>Свод!Y9</f>
        <v>75.971719792525988</v>
      </c>
      <c r="Z14" s="35">
        <f>Свод!Z9</f>
        <v>77.681083487857819</v>
      </c>
    </row>
    <row r="15" spans="1:26" x14ac:dyDescent="0.2">
      <c r="A15" s="36" t="s">
        <v>158</v>
      </c>
      <c r="B15" s="174">
        <f t="shared" ref="B15:B20" si="0">SUM(C15:Z15)</f>
        <v>13614.75</v>
      </c>
      <c r="C15" s="173">
        <f>IF(C13="Р",$B$5/COUNTIF(13:13,"Р"),0)</f>
        <v>0</v>
      </c>
      <c r="D15" s="173">
        <f t="shared" ref="D15:V15" si="1">IF(D13="Р",$B$5/COUNTIF(13:13,"Р"),0)</f>
        <v>0</v>
      </c>
      <c r="E15" s="173">
        <f t="shared" si="1"/>
        <v>0</v>
      </c>
      <c r="F15" s="173">
        <f t="shared" si="1"/>
        <v>0</v>
      </c>
      <c r="G15" s="173">
        <f t="shared" si="1"/>
        <v>0</v>
      </c>
      <c r="H15" s="173">
        <f t="shared" si="1"/>
        <v>0</v>
      </c>
      <c r="I15" s="173">
        <f t="shared" si="1"/>
        <v>0</v>
      </c>
      <c r="J15" s="173">
        <f t="shared" si="1"/>
        <v>0</v>
      </c>
      <c r="K15" s="173">
        <f t="shared" si="1"/>
        <v>0</v>
      </c>
      <c r="L15" s="173">
        <f t="shared" si="1"/>
        <v>0</v>
      </c>
      <c r="M15" s="173">
        <f t="shared" si="1"/>
        <v>0</v>
      </c>
      <c r="N15" s="173">
        <f t="shared" si="1"/>
        <v>1512.75</v>
      </c>
      <c r="O15" s="173">
        <f t="shared" si="1"/>
        <v>1512.75</v>
      </c>
      <c r="P15" s="173">
        <f t="shared" si="1"/>
        <v>1512.75</v>
      </c>
      <c r="Q15" s="173">
        <f t="shared" si="1"/>
        <v>1512.75</v>
      </c>
      <c r="R15" s="173">
        <f t="shared" si="1"/>
        <v>1512.75</v>
      </c>
      <c r="S15" s="173">
        <f t="shared" si="1"/>
        <v>1512.75</v>
      </c>
      <c r="T15" s="173">
        <f t="shared" si="1"/>
        <v>1512.75</v>
      </c>
      <c r="U15" s="173">
        <f t="shared" si="1"/>
        <v>1512.75</v>
      </c>
      <c r="V15" s="173">
        <f t="shared" si="1"/>
        <v>1512.75</v>
      </c>
      <c r="W15" s="35"/>
      <c r="X15" s="35"/>
      <c r="Y15" s="35"/>
      <c r="Z15" s="35"/>
    </row>
    <row r="16" spans="1:26" s="44" customFormat="1" x14ac:dyDescent="0.2">
      <c r="A16" s="43" t="s">
        <v>12</v>
      </c>
      <c r="B16" s="49">
        <f t="shared" si="0"/>
        <v>933716.12936417537</v>
      </c>
      <c r="C16" s="49">
        <f t="shared" ref="C16:V16" si="2">SUM(C17:C20)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49">
        <f t="shared" si="2"/>
        <v>0</v>
      </c>
      <c r="K16" s="49">
        <f t="shared" si="2"/>
        <v>0</v>
      </c>
      <c r="L16" s="49">
        <f t="shared" si="2"/>
        <v>14244.975311863025</v>
      </c>
      <c r="M16" s="49">
        <f t="shared" si="2"/>
        <v>14244.975311863025</v>
      </c>
      <c r="N16" s="49">
        <f t="shared" si="2"/>
        <v>92664.147281705838</v>
      </c>
      <c r="O16" s="49">
        <f t="shared" si="2"/>
        <v>94749.090595544229</v>
      </c>
      <c r="P16" s="49">
        <f t="shared" si="2"/>
        <v>96880.945133943969</v>
      </c>
      <c r="Q16" s="49">
        <f t="shared" si="2"/>
        <v>99060.766399457716</v>
      </c>
      <c r="R16" s="49">
        <f t="shared" si="2"/>
        <v>101289.63364344552</v>
      </c>
      <c r="S16" s="49">
        <f t="shared" si="2"/>
        <v>102808.97814809719</v>
      </c>
      <c r="T16" s="49">
        <f t="shared" si="2"/>
        <v>104351.11282031862</v>
      </c>
      <c r="U16" s="49">
        <f t="shared" si="2"/>
        <v>105916.37951262339</v>
      </c>
      <c r="V16" s="49">
        <f t="shared" si="2"/>
        <v>107505.12520531272</v>
      </c>
      <c r="W16" s="49">
        <f t="shared" ref="W16:Z16" si="3">SUM(W17:W20)</f>
        <v>0</v>
      </c>
      <c r="X16" s="49">
        <f t="shared" si="3"/>
        <v>0</v>
      </c>
      <c r="Y16" s="49">
        <f t="shared" si="3"/>
        <v>0</v>
      </c>
      <c r="Z16" s="49">
        <f t="shared" si="3"/>
        <v>0</v>
      </c>
    </row>
    <row r="17" spans="1:26" x14ac:dyDescent="0.2">
      <c r="A17" s="9" t="s">
        <v>44</v>
      </c>
      <c r="B17" s="4">
        <f t="shared" si="0"/>
        <v>905226.17874044925</v>
      </c>
      <c r="C17" s="38"/>
      <c r="D17" s="38"/>
      <c r="E17" s="38">
        <f t="shared" ref="E17:Z17" si="4">IF(E13="Р",$B$5*E14/COUNTIF(13:13,"Р"),0)</f>
        <v>0</v>
      </c>
      <c r="F17" s="38">
        <f t="shared" si="4"/>
        <v>0</v>
      </c>
      <c r="G17" s="38">
        <f t="shared" si="4"/>
        <v>0</v>
      </c>
      <c r="H17" s="38">
        <f t="shared" si="4"/>
        <v>0</v>
      </c>
      <c r="I17" s="38">
        <f t="shared" si="4"/>
        <v>0</v>
      </c>
      <c r="J17" s="38">
        <f t="shared" si="4"/>
        <v>0</v>
      </c>
      <c r="K17" s="38">
        <f t="shared" si="4"/>
        <v>0</v>
      </c>
      <c r="L17" s="38">
        <f t="shared" si="4"/>
        <v>0</v>
      </c>
      <c r="M17" s="38">
        <f t="shared" si="4"/>
        <v>0</v>
      </c>
      <c r="N17" s="38">
        <f t="shared" si="4"/>
        <v>92664.147281705838</v>
      </c>
      <c r="O17" s="38">
        <f t="shared" si="4"/>
        <v>94749.090595544229</v>
      </c>
      <c r="P17" s="38">
        <f t="shared" si="4"/>
        <v>96880.945133943969</v>
      </c>
      <c r="Q17" s="38">
        <f t="shared" si="4"/>
        <v>99060.766399457716</v>
      </c>
      <c r="R17" s="38">
        <f t="shared" si="4"/>
        <v>101289.63364344552</v>
      </c>
      <c r="S17" s="38">
        <f t="shared" si="4"/>
        <v>102808.97814809719</v>
      </c>
      <c r="T17" s="38">
        <f t="shared" si="4"/>
        <v>104351.11282031862</v>
      </c>
      <c r="U17" s="38">
        <f t="shared" si="4"/>
        <v>105916.37951262339</v>
      </c>
      <c r="V17" s="38">
        <f t="shared" si="4"/>
        <v>107505.12520531272</v>
      </c>
      <c r="W17" s="38">
        <f t="shared" si="4"/>
        <v>0</v>
      </c>
      <c r="X17" s="38">
        <f t="shared" si="4"/>
        <v>0</v>
      </c>
      <c r="Y17" s="38">
        <f t="shared" si="4"/>
        <v>0</v>
      </c>
      <c r="Z17" s="38">
        <f t="shared" si="4"/>
        <v>0</v>
      </c>
    </row>
    <row r="18" spans="1:26" x14ac:dyDescent="0.2">
      <c r="A18" s="9" t="s">
        <v>39</v>
      </c>
      <c r="B18" s="4">
        <f t="shared" si="0"/>
        <v>0</v>
      </c>
      <c r="C18" s="39">
        <f>B44*ИДиР!$B$22/4</f>
        <v>0</v>
      </c>
      <c r="D18" s="39">
        <f>C44*ИДиР!$B$22/4</f>
        <v>0</v>
      </c>
      <c r="E18" s="39">
        <f>D44*ИДиР!$B$22/4</f>
        <v>0</v>
      </c>
      <c r="F18" s="39">
        <f>E44*ИДиР!$B$22/4</f>
        <v>0</v>
      </c>
      <c r="G18" s="39">
        <f>F44*ИДиР!$B$22/4</f>
        <v>0</v>
      </c>
      <c r="H18" s="39">
        <f>G44*ИДиР!$B$22/4</f>
        <v>0</v>
      </c>
      <c r="I18" s="39">
        <f>H44*ИДиР!$B$22/4</f>
        <v>0</v>
      </c>
      <c r="J18" s="39">
        <f>I44*ИДиР!$B$22/4</f>
        <v>0</v>
      </c>
      <c r="K18" s="39">
        <f>J44*ИДиР!$B$22/4</f>
        <v>0</v>
      </c>
      <c r="L18" s="39">
        <f>K44*ИДиР!$B$22/4</f>
        <v>0</v>
      </c>
      <c r="M18" s="39">
        <f>L44*ИДиР!$B$22/4</f>
        <v>0</v>
      </c>
      <c r="N18" s="39">
        <f>M44*ИДиР!$B$22/4</f>
        <v>0</v>
      </c>
      <c r="O18" s="39">
        <f>N44*ИДиР!$B$22/4</f>
        <v>0</v>
      </c>
      <c r="P18" s="39">
        <f>O44*ИДиР!$B$22/4</f>
        <v>0</v>
      </c>
      <c r="Q18" s="39">
        <f>P44*ИДиР!$B$22/4</f>
        <v>0</v>
      </c>
      <c r="R18" s="39">
        <f>Q44*ИДиР!$B$22/4</f>
        <v>0</v>
      </c>
      <c r="S18" s="39">
        <f>R44*ИДиР!$B$22/4</f>
        <v>0</v>
      </c>
      <c r="T18" s="39">
        <f>S44*ИДиР!$B$22/4</f>
        <v>0</v>
      </c>
      <c r="U18" s="39">
        <f>T44*ИДиР!$B$22/4</f>
        <v>0</v>
      </c>
      <c r="V18" s="39">
        <f>U44*ИДиР!$B$22/4</f>
        <v>0</v>
      </c>
      <c r="W18" s="39">
        <f>V44*ИДиР!$B$22/4</f>
        <v>0</v>
      </c>
      <c r="X18" s="39">
        <f>W44*ИДиР!$B$22/4</f>
        <v>0</v>
      </c>
      <c r="Y18" s="39">
        <f>X44*ИДиР!$B$22/4</f>
        <v>0</v>
      </c>
      <c r="Z18" s="39">
        <f>Y44*ИДиР!$B$22/4</f>
        <v>0</v>
      </c>
    </row>
    <row r="19" spans="1:26" x14ac:dyDescent="0.2">
      <c r="A19" s="9" t="s">
        <v>20</v>
      </c>
      <c r="B19" s="4">
        <f t="shared" si="0"/>
        <v>14356.60594663855</v>
      </c>
      <c r="C19" s="38"/>
      <c r="D19" s="38"/>
      <c r="E19" s="38">
        <f t="shared" ref="E19:F19" si="5">IF(E13="У",-E22-E20,0)</f>
        <v>0</v>
      </c>
      <c r="F19" s="38">
        <f t="shared" si="5"/>
        <v>0</v>
      </c>
      <c r="G19" s="38">
        <f>IF(G13="У",-G22-G20,0)</f>
        <v>0</v>
      </c>
      <c r="H19" s="38">
        <f t="shared" ref="H19:Z19" si="6">IF(H13="У",-H22-H20,0)</f>
        <v>0</v>
      </c>
      <c r="I19" s="38">
        <f t="shared" si="6"/>
        <v>0</v>
      </c>
      <c r="J19" s="38">
        <f t="shared" si="6"/>
        <v>0</v>
      </c>
      <c r="K19" s="38">
        <f t="shared" si="6"/>
        <v>0</v>
      </c>
      <c r="L19" s="38">
        <f t="shared" si="6"/>
        <v>7178.3029733192752</v>
      </c>
      <c r="M19" s="38">
        <f t="shared" si="6"/>
        <v>7178.3029733192752</v>
      </c>
      <c r="N19" s="38">
        <f t="shared" si="6"/>
        <v>0</v>
      </c>
      <c r="O19" s="38">
        <f t="shared" si="6"/>
        <v>0</v>
      </c>
      <c r="P19" s="38">
        <f t="shared" si="6"/>
        <v>0</v>
      </c>
      <c r="Q19" s="38">
        <f t="shared" si="6"/>
        <v>0</v>
      </c>
      <c r="R19" s="38">
        <f t="shared" si="6"/>
        <v>0</v>
      </c>
      <c r="S19" s="38">
        <f t="shared" si="6"/>
        <v>0</v>
      </c>
      <c r="T19" s="38">
        <f t="shared" si="6"/>
        <v>0</v>
      </c>
      <c r="U19" s="38">
        <f t="shared" si="6"/>
        <v>0</v>
      </c>
      <c r="V19" s="38">
        <f t="shared" si="6"/>
        <v>0</v>
      </c>
      <c r="W19" s="38">
        <f t="shared" si="6"/>
        <v>0</v>
      </c>
      <c r="X19" s="38">
        <f t="shared" si="6"/>
        <v>0</v>
      </c>
      <c r="Y19" s="38">
        <f t="shared" si="6"/>
        <v>0</v>
      </c>
      <c r="Z19" s="38">
        <f t="shared" si="6"/>
        <v>0</v>
      </c>
    </row>
    <row r="20" spans="1:26" x14ac:dyDescent="0.2">
      <c r="A20" s="9" t="s">
        <v>21</v>
      </c>
      <c r="B20" s="4">
        <f t="shared" si="0"/>
        <v>14133.3446770875</v>
      </c>
      <c r="C20" s="38"/>
      <c r="D20" s="38"/>
      <c r="E20" s="38">
        <f t="shared" ref="E20:Z20" si="7">IF(E13="У",$B$7*$B$8/COUNTIF(13:13,"У"),0)</f>
        <v>0</v>
      </c>
      <c r="F20" s="38">
        <f t="shared" si="7"/>
        <v>0</v>
      </c>
      <c r="G20" s="38">
        <f t="shared" si="7"/>
        <v>0</v>
      </c>
      <c r="H20" s="38">
        <f t="shared" si="7"/>
        <v>0</v>
      </c>
      <c r="I20" s="38">
        <f t="shared" si="7"/>
        <v>0</v>
      </c>
      <c r="J20" s="38">
        <f t="shared" si="7"/>
        <v>0</v>
      </c>
      <c r="K20" s="38">
        <f t="shared" si="7"/>
        <v>0</v>
      </c>
      <c r="L20" s="38">
        <f t="shared" si="7"/>
        <v>7066.6723385437499</v>
      </c>
      <c r="M20" s="38">
        <f t="shared" si="7"/>
        <v>7066.6723385437499</v>
      </c>
      <c r="N20" s="38">
        <f t="shared" si="7"/>
        <v>0</v>
      </c>
      <c r="O20" s="38">
        <f t="shared" si="7"/>
        <v>0</v>
      </c>
      <c r="P20" s="38">
        <f t="shared" si="7"/>
        <v>0</v>
      </c>
      <c r="Q20" s="38">
        <f t="shared" si="7"/>
        <v>0</v>
      </c>
      <c r="R20" s="38">
        <f t="shared" si="7"/>
        <v>0</v>
      </c>
      <c r="S20" s="38">
        <f t="shared" si="7"/>
        <v>0</v>
      </c>
      <c r="T20" s="38">
        <f t="shared" si="7"/>
        <v>0</v>
      </c>
      <c r="U20" s="38">
        <f t="shared" si="7"/>
        <v>0</v>
      </c>
      <c r="V20" s="38">
        <f t="shared" si="7"/>
        <v>0</v>
      </c>
      <c r="W20" s="38">
        <f t="shared" si="7"/>
        <v>0</v>
      </c>
      <c r="X20" s="38">
        <f t="shared" si="7"/>
        <v>0</v>
      </c>
      <c r="Y20" s="38">
        <f t="shared" si="7"/>
        <v>0</v>
      </c>
      <c r="Z20" s="38">
        <f t="shared" si="7"/>
        <v>0</v>
      </c>
    </row>
    <row r="21" spans="1:26" s="28" customFormat="1" x14ac:dyDescent="0.2">
      <c r="A21" s="29" t="s">
        <v>22</v>
      </c>
      <c r="B21" s="65"/>
      <c r="C21" s="42">
        <f t="shared" ref="C21:U21" si="8">B21+C20+C26</f>
        <v>0</v>
      </c>
      <c r="D21" s="42">
        <f t="shared" si="8"/>
        <v>0</v>
      </c>
      <c r="E21" s="42">
        <f t="shared" si="8"/>
        <v>0</v>
      </c>
      <c r="F21" s="42">
        <f t="shared" si="8"/>
        <v>0</v>
      </c>
      <c r="G21" s="42">
        <f t="shared" si="8"/>
        <v>0</v>
      </c>
      <c r="H21" s="42">
        <f t="shared" si="8"/>
        <v>0</v>
      </c>
      <c r="I21" s="42">
        <f t="shared" si="8"/>
        <v>0</v>
      </c>
      <c r="J21" s="42">
        <f t="shared" si="8"/>
        <v>0</v>
      </c>
      <c r="K21" s="42">
        <f t="shared" si="8"/>
        <v>0</v>
      </c>
      <c r="L21" s="42">
        <f t="shared" si="8"/>
        <v>7066.6723385437499</v>
      </c>
      <c r="M21" s="42">
        <f t="shared" si="8"/>
        <v>14133.3446770875</v>
      </c>
      <c r="N21" s="42">
        <f t="shared" si="8"/>
        <v>14133.3446770875</v>
      </c>
      <c r="O21" s="42">
        <f t="shared" si="8"/>
        <v>14133.3446770875</v>
      </c>
      <c r="P21" s="42">
        <f t="shared" si="8"/>
        <v>14133.3446770875</v>
      </c>
      <c r="Q21" s="42">
        <f t="shared" si="8"/>
        <v>14133.3446770875</v>
      </c>
      <c r="R21" s="42">
        <f t="shared" si="8"/>
        <v>14133.3446770875</v>
      </c>
      <c r="S21" s="42">
        <f t="shared" si="8"/>
        <v>14133.3446770875</v>
      </c>
      <c r="T21" s="42">
        <f t="shared" si="8"/>
        <v>14133.3446770875</v>
      </c>
      <c r="U21" s="42">
        <f t="shared" si="8"/>
        <v>0</v>
      </c>
      <c r="V21" s="42">
        <f t="shared" ref="V21:Z21" si="9">U21+V20+V26</f>
        <v>0</v>
      </c>
      <c r="W21" s="42">
        <f t="shared" si="9"/>
        <v>0</v>
      </c>
      <c r="X21" s="42">
        <f t="shared" si="9"/>
        <v>0</v>
      </c>
      <c r="Y21" s="42">
        <f t="shared" si="9"/>
        <v>0</v>
      </c>
      <c r="Z21" s="42">
        <f t="shared" si="9"/>
        <v>0</v>
      </c>
    </row>
    <row r="22" spans="1:26" s="44" customFormat="1" x14ac:dyDescent="0.2">
      <c r="A22" s="43" t="s">
        <v>13</v>
      </c>
      <c r="B22" s="49">
        <f t="shared" ref="B22:B29" si="10">SUM(C22:Z22)</f>
        <v>-641158.35930607468</v>
      </c>
      <c r="C22" s="49">
        <f t="shared" ref="C22:V22" si="11">SUM(C23:C29)</f>
        <v>0</v>
      </c>
      <c r="D22" s="49">
        <f t="shared" si="11"/>
        <v>0</v>
      </c>
      <c r="E22" s="49">
        <f t="shared" si="11"/>
        <v>0</v>
      </c>
      <c r="F22" s="49">
        <f t="shared" si="11"/>
        <v>0</v>
      </c>
      <c r="G22" s="49">
        <f t="shared" si="11"/>
        <v>0</v>
      </c>
      <c r="H22" s="49">
        <f t="shared" si="11"/>
        <v>0</v>
      </c>
      <c r="I22" s="49">
        <f t="shared" si="11"/>
        <v>0</v>
      </c>
      <c r="J22" s="49">
        <f t="shared" si="11"/>
        <v>0</v>
      </c>
      <c r="K22" s="49">
        <f t="shared" si="11"/>
        <v>0</v>
      </c>
      <c r="L22" s="49">
        <f t="shared" si="11"/>
        <v>-14244.975311863025</v>
      </c>
      <c r="M22" s="49">
        <f t="shared" si="11"/>
        <v>-14244.975311863025</v>
      </c>
      <c r="N22" s="49">
        <f t="shared" si="11"/>
        <v>-116559.900488545</v>
      </c>
      <c r="O22" s="49">
        <f t="shared" si="11"/>
        <v>-112986.62404872081</v>
      </c>
      <c r="P22" s="49">
        <f t="shared" si="11"/>
        <v>-114669.56310826253</v>
      </c>
      <c r="Q22" s="49">
        <f t="shared" si="11"/>
        <v>-116368.88679710508</v>
      </c>
      <c r="R22" s="49">
        <f t="shared" si="11"/>
        <v>-118084.42673191924</v>
      </c>
      <c r="S22" s="49">
        <f t="shared" si="11"/>
        <v>-10464.857304149547</v>
      </c>
      <c r="T22" s="49">
        <f t="shared" si="11"/>
        <v>-2129.0396883190688</v>
      </c>
      <c r="U22" s="49">
        <f t="shared" si="11"/>
        <v>-19255.00801122106</v>
      </c>
      <c r="V22" s="49">
        <f t="shared" si="11"/>
        <v>-2150.1025041062544</v>
      </c>
      <c r="W22" s="49">
        <f t="shared" ref="W22:Z22" si="12">SUM(W23:W27)</f>
        <v>0</v>
      </c>
      <c r="X22" s="49">
        <f t="shared" si="12"/>
        <v>0</v>
      </c>
      <c r="Y22" s="49">
        <f t="shared" si="12"/>
        <v>0</v>
      </c>
      <c r="Z22" s="49">
        <f t="shared" si="12"/>
        <v>0</v>
      </c>
    </row>
    <row r="23" spans="1:26" x14ac:dyDescent="0.2">
      <c r="A23" s="9" t="s">
        <v>23</v>
      </c>
      <c r="B23" s="4">
        <f t="shared" si="10"/>
        <v>-565333.78708349995</v>
      </c>
      <c r="C23" s="38"/>
      <c r="D23" s="38"/>
      <c r="E23" s="38">
        <f t="shared" ref="E23:V23" si="13">IF(E12="С",IF(E13="У",-$B$7/COUNTIF(13:13,"У"),-($B$6-$B$7)/(COUNTIF(12:12,"С")-COUNTIF(13:13,"У"))),0)</f>
        <v>0</v>
      </c>
      <c r="F23" s="38">
        <f t="shared" si="13"/>
        <v>0</v>
      </c>
      <c r="G23" s="38">
        <f t="shared" si="13"/>
        <v>0</v>
      </c>
      <c r="H23" s="38">
        <f t="shared" si="13"/>
        <v>0</v>
      </c>
      <c r="I23" s="38">
        <f>IF(I12="С",IF(I13="У",-$B$7/COUNTIF(13:13,"У"),-($B$6-$B$7)/(COUNTIF(12:12,"С")-COUNTIF(13:13,"У"))),0)</f>
        <v>0</v>
      </c>
      <c r="J23" s="38">
        <f t="shared" si="13"/>
        <v>0</v>
      </c>
      <c r="K23" s="38">
        <f t="shared" si="13"/>
        <v>0</v>
      </c>
      <c r="L23" s="38">
        <f t="shared" si="13"/>
        <v>-14133.3446770875</v>
      </c>
      <c r="M23" s="38">
        <f t="shared" si="13"/>
        <v>-14133.3446770875</v>
      </c>
      <c r="N23" s="38">
        <f t="shared" si="13"/>
        <v>-107413.41954586499</v>
      </c>
      <c r="O23" s="38">
        <f t="shared" si="13"/>
        <v>-107413.41954586499</v>
      </c>
      <c r="P23" s="38">
        <f t="shared" si="13"/>
        <v>-107413.41954586499</v>
      </c>
      <c r="Q23" s="38">
        <f t="shared" si="13"/>
        <v>-107413.41954586499</v>
      </c>
      <c r="R23" s="38">
        <f t="shared" si="13"/>
        <v>-107413.41954586499</v>
      </c>
      <c r="S23" s="38">
        <f t="shared" si="13"/>
        <v>0</v>
      </c>
      <c r="T23" s="38">
        <f t="shared" si="13"/>
        <v>0</v>
      </c>
      <c r="U23" s="38">
        <f t="shared" si="13"/>
        <v>0</v>
      </c>
      <c r="V23" s="38">
        <f t="shared" si="13"/>
        <v>0</v>
      </c>
      <c r="W23" s="38">
        <f t="shared" ref="W23:Z23" si="14">IF(W12="С",IF(W13="У",-$B$7/COUNTIF(13:13,"У"),-($B$6-$B$7)/(COUNTIF(12:12,"С")-COUNTIF(13:13,"У"))),0)</f>
        <v>0</v>
      </c>
      <c r="X23" s="38">
        <f t="shared" si="14"/>
        <v>0</v>
      </c>
      <c r="Y23" s="38">
        <f t="shared" si="14"/>
        <v>0</v>
      </c>
      <c r="Z23" s="38">
        <f t="shared" si="14"/>
        <v>0</v>
      </c>
    </row>
    <row r="24" spans="1:26" x14ac:dyDescent="0.2">
      <c r="A24" s="9" t="s">
        <v>145</v>
      </c>
      <c r="B24" s="4">
        <f>SUM(C24:Z24)</f>
        <v>-22569.748965829989</v>
      </c>
      <c r="C24" s="38">
        <f t="shared" ref="C24:V24" si="15">-C17*2%+C23*$R$1</f>
        <v>0</v>
      </c>
      <c r="D24" s="38">
        <f t="shared" si="15"/>
        <v>0</v>
      </c>
      <c r="E24" s="38">
        <f t="shared" si="15"/>
        <v>0</v>
      </c>
      <c r="F24" s="38">
        <f t="shared" si="15"/>
        <v>0</v>
      </c>
      <c r="G24" s="38">
        <f t="shared" si="15"/>
        <v>0</v>
      </c>
      <c r="H24" s="38">
        <f t="shared" si="15"/>
        <v>0</v>
      </c>
      <c r="I24" s="38">
        <f t="shared" si="15"/>
        <v>0</v>
      </c>
      <c r="J24" s="38">
        <f t="shared" si="15"/>
        <v>0</v>
      </c>
      <c r="K24" s="38">
        <f t="shared" si="15"/>
        <v>0</v>
      </c>
      <c r="L24" s="38">
        <f t="shared" si="15"/>
        <v>-111.63063477552511</v>
      </c>
      <c r="M24" s="38">
        <f t="shared" si="15"/>
        <v>-111.63063477552511</v>
      </c>
      <c r="N24" s="38">
        <f t="shared" si="15"/>
        <v>-2701.6757699281079</v>
      </c>
      <c r="O24" s="38">
        <f t="shared" si="15"/>
        <v>-2743.3746362048751</v>
      </c>
      <c r="P24" s="38">
        <f t="shared" si="15"/>
        <v>-2786.0117269728703</v>
      </c>
      <c r="Q24" s="38">
        <f t="shared" si="15"/>
        <v>-2829.608152283145</v>
      </c>
      <c r="R24" s="38">
        <f t="shared" si="15"/>
        <v>-2874.1854971629009</v>
      </c>
      <c r="S24" s="38">
        <f t="shared" si="15"/>
        <v>-2056.1795629619437</v>
      </c>
      <c r="T24" s="38">
        <f t="shared" si="15"/>
        <v>-2087.0222564063724</v>
      </c>
      <c r="U24" s="38">
        <f t="shared" si="15"/>
        <v>-2118.3275902524679</v>
      </c>
      <c r="V24" s="38">
        <f t="shared" si="15"/>
        <v>-2150.1025041062544</v>
      </c>
      <c r="W24" s="38">
        <f>-W17*2%+W23*0.5933%</f>
        <v>0</v>
      </c>
      <c r="X24" s="38">
        <f>-X17*2%+X23*0.5933%</f>
        <v>0</v>
      </c>
      <c r="Y24" s="38">
        <f>-Y17*2%+Y23*0.5933%</f>
        <v>0</v>
      </c>
      <c r="Z24" s="38">
        <f>-Z17*2%+Z23*0.5933%</f>
        <v>0</v>
      </c>
    </row>
    <row r="25" spans="1:26" x14ac:dyDescent="0.2">
      <c r="A25" s="9" t="s">
        <v>46</v>
      </c>
      <c r="B25" s="4">
        <f t="shared" si="10"/>
        <v>-25376.800881189592</v>
      </c>
      <c r="C25" s="126">
        <f t="shared" ref="C25:G25" si="16">-B37*C39/4</f>
        <v>0</v>
      </c>
      <c r="D25" s="126">
        <f t="shared" si="16"/>
        <v>0</v>
      </c>
      <c r="E25" s="126">
        <f t="shared" si="16"/>
        <v>0</v>
      </c>
      <c r="F25" s="126">
        <f t="shared" si="16"/>
        <v>0</v>
      </c>
      <c r="G25" s="126">
        <f t="shared" si="16"/>
        <v>0</v>
      </c>
      <c r="H25" s="126">
        <f>-G37*H39/4</f>
        <v>0</v>
      </c>
      <c r="I25" s="126">
        <f t="shared" ref="I25:V25" si="17">-H37*I39/4</f>
        <v>0</v>
      </c>
      <c r="J25" s="126">
        <f t="shared" si="17"/>
        <v>0</v>
      </c>
      <c r="K25" s="126">
        <f t="shared" si="17"/>
        <v>0</v>
      </c>
      <c r="L25" s="126">
        <f t="shared" si="17"/>
        <v>0</v>
      </c>
      <c r="M25" s="126">
        <f t="shared" si="17"/>
        <v>0</v>
      </c>
      <c r="N25" s="126">
        <f t="shared" si="17"/>
        <v>0</v>
      </c>
      <c r="O25" s="126">
        <f t="shared" si="17"/>
        <v>-1755.6956711923021</v>
      </c>
      <c r="P25" s="126">
        <f t="shared" si="17"/>
        <v>-3395.99763996602</v>
      </c>
      <c r="Q25" s="126">
        <f t="shared" si="17"/>
        <v>-5051.7249034982842</v>
      </c>
      <c r="R25" s="126">
        <f t="shared" si="17"/>
        <v>-6722.6874934326897</v>
      </c>
      <c r="S25" s="126">
        <f t="shared" si="17"/>
        <v>-8408.6777411876028</v>
      </c>
      <c r="T25" s="126">
        <f t="shared" si="17"/>
        <v>-42.017431912696338</v>
      </c>
      <c r="U25" s="126">
        <f t="shared" si="17"/>
        <v>0</v>
      </c>
      <c r="V25" s="126">
        <f t="shared" si="17"/>
        <v>0</v>
      </c>
      <c r="W25" s="38">
        <f>-V38*ИДиР!$B$20/4-(V37-V38)*ИДиР!$B$21/4</f>
        <v>0</v>
      </c>
      <c r="X25" s="38">
        <f>-W38*ИДиР!$B$20/4-(W37-W38)*ИДиР!$B$21/4</f>
        <v>0</v>
      </c>
      <c r="Y25" s="38">
        <f>-X38*ИДиР!$B$20/4-(X37-X38)*ИДиР!$B$21/4</f>
        <v>0</v>
      </c>
      <c r="Z25" s="38">
        <f>-Y38*ИДиР!$B$20/4-(Y37-Y38)*ИДиР!$B$21/4</f>
        <v>0</v>
      </c>
    </row>
    <row r="26" spans="1:26" x14ac:dyDescent="0.2">
      <c r="A26" s="9" t="s">
        <v>24</v>
      </c>
      <c r="B26" s="4">
        <f t="shared" si="10"/>
        <v>-14133.3446770875</v>
      </c>
      <c r="C26" s="38"/>
      <c r="D26" s="38"/>
      <c r="E26" s="38">
        <f t="shared" ref="E26:Z26" si="18">IF(AND(E12="Э",D21&gt;0,D37=0),-$B$20,0)</f>
        <v>0</v>
      </c>
      <c r="F26" s="38">
        <f t="shared" si="18"/>
        <v>0</v>
      </c>
      <c r="G26" s="38">
        <f t="shared" si="18"/>
        <v>0</v>
      </c>
      <c r="H26" s="38">
        <f t="shared" si="18"/>
        <v>0</v>
      </c>
      <c r="I26" s="38">
        <f t="shared" si="18"/>
        <v>0</v>
      </c>
      <c r="J26" s="38">
        <f t="shared" si="18"/>
        <v>0</v>
      </c>
      <c r="K26" s="38">
        <f t="shared" si="18"/>
        <v>0</v>
      </c>
      <c r="L26" s="38">
        <f t="shared" si="18"/>
        <v>0</v>
      </c>
      <c r="M26" s="38">
        <f t="shared" si="18"/>
        <v>0</v>
      </c>
      <c r="N26" s="38">
        <f t="shared" si="18"/>
        <v>0</v>
      </c>
      <c r="O26" s="38">
        <f t="shared" si="18"/>
        <v>0</v>
      </c>
      <c r="P26" s="38">
        <f t="shared" si="18"/>
        <v>0</v>
      </c>
      <c r="Q26" s="38">
        <f t="shared" si="18"/>
        <v>0</v>
      </c>
      <c r="R26" s="38">
        <f t="shared" si="18"/>
        <v>0</v>
      </c>
      <c r="S26" s="38">
        <f t="shared" si="18"/>
        <v>0</v>
      </c>
      <c r="T26" s="38">
        <f t="shared" si="18"/>
        <v>0</v>
      </c>
      <c r="U26" s="38">
        <f t="shared" si="18"/>
        <v>-14133.3446770875</v>
      </c>
      <c r="V26" s="38">
        <f t="shared" si="18"/>
        <v>0</v>
      </c>
      <c r="W26" s="38">
        <f t="shared" si="18"/>
        <v>0</v>
      </c>
      <c r="X26" s="38">
        <f t="shared" si="18"/>
        <v>0</v>
      </c>
      <c r="Y26" s="38">
        <f t="shared" si="18"/>
        <v>0</v>
      </c>
      <c r="Z26" s="38">
        <f t="shared" si="18"/>
        <v>0</v>
      </c>
    </row>
    <row r="27" spans="1:26" x14ac:dyDescent="0.2">
      <c r="A27" s="9" t="s">
        <v>25</v>
      </c>
      <c r="B27" s="4">
        <f t="shared" si="10"/>
        <v>-3003.335743881094</v>
      </c>
      <c r="C27" s="38"/>
      <c r="D27" s="38"/>
      <c r="E27" s="38">
        <f>IF(E26&lt;0,-SUM($C21:E21)*7.5%*1.25/4,0)</f>
        <v>0</v>
      </c>
      <c r="F27" s="38">
        <f>IF(F26&lt;0,-SUM($C21:F21)*7.5%*1.25/4,0)</f>
        <v>0</v>
      </c>
      <c r="G27" s="38">
        <f>IF(G26&lt;0,-SUM($C21:G21)*ИДиР!$B$19/4,0)</f>
        <v>0</v>
      </c>
      <c r="H27" s="38">
        <f>IF(H26&lt;0,-SUM($C21:H21)*ИДиР!$B$19/4,0)</f>
        <v>0</v>
      </c>
      <c r="I27" s="38">
        <f>IF(I26&lt;0,-SUM($C21:I21)*ИДиР!$B$19/4,0)</f>
        <v>0</v>
      </c>
      <c r="J27" s="38">
        <f>IF(J26&lt;0,-SUM($C21:J21)*ИДиР!$B$19/4,0)</f>
        <v>0</v>
      </c>
      <c r="K27" s="38">
        <f>IF(K26&lt;0,-SUM($C21:K21)*ИДиР!$B$19/4,0)</f>
        <v>0</v>
      </c>
      <c r="L27" s="38">
        <f>IF(L26&lt;0,-SUM($C21:L21)*ИДиР!$B$19/4,0)</f>
        <v>0</v>
      </c>
      <c r="M27" s="38">
        <f>IF(M26&lt;0,-SUM($C21:M21)*ИДиР!$B$19/4,0)</f>
        <v>0</v>
      </c>
      <c r="N27" s="38">
        <f>IF(N26&lt;0,-SUM($C21:N21)*ИДиР!$B$19/4,0)</f>
        <v>0</v>
      </c>
      <c r="O27" s="38">
        <f>IF(O26&lt;0,-SUM($C21:O21)*ИДиР!$B$19/4,0)</f>
        <v>0</v>
      </c>
      <c r="P27" s="38">
        <f>IF(P26&lt;0,-SUM($C21:P21)*ИДиР!$B$19/4,0)</f>
        <v>0</v>
      </c>
      <c r="Q27" s="38">
        <f>IF(Q26&lt;0,-SUM($C21:Q21)*ИДиР!$B$19/4,0)</f>
        <v>0</v>
      </c>
      <c r="R27" s="38">
        <f>IF(R26&lt;0,-SUM($C21:R21)*ИДиР!$B$19/4,0)</f>
        <v>0</v>
      </c>
      <c r="S27" s="38">
        <f>IF(S26&lt;0,-SUM($C21:S21)*ИДиР!$B$19/4,0)</f>
        <v>0</v>
      </c>
      <c r="T27" s="38">
        <f>IF(T26&lt;0,-SUM($C21:T21)*ИДиР!$B$19/4,0)</f>
        <v>0</v>
      </c>
      <c r="U27" s="38">
        <f>IF(U26&lt;0,-SUM($C21:U21)*ИДиР!$B$19/4,0)</f>
        <v>-3003.335743881094</v>
      </c>
      <c r="V27" s="38">
        <f>IF(V26&lt;0,-SUM($C21:V21)*ИДиР!$B$19/4,0)</f>
        <v>0</v>
      </c>
      <c r="W27" s="38">
        <f>IF(W26&lt;0,-SUM($C21:W21)*ИДиР!$B$19/4,0)</f>
        <v>0</v>
      </c>
      <c r="X27" s="38">
        <f>IF(X26&lt;0,-SUM($C21:X21)*ИДиР!$B$19/4,0)</f>
        <v>0</v>
      </c>
      <c r="Y27" s="38">
        <f>IF(Y26&lt;0,-SUM($C21:Y21)*ИДиР!$B$19/4,0)</f>
        <v>0</v>
      </c>
      <c r="Z27" s="38">
        <f>IF(Z26&lt;0,-SUM($C21:Z21)*ИДиР!$B$19/4,0)</f>
        <v>0</v>
      </c>
    </row>
    <row r="28" spans="1:26" x14ac:dyDescent="0.2">
      <c r="A28" s="9" t="s">
        <v>126</v>
      </c>
      <c r="B28" s="4">
        <f t="shared" si="10"/>
        <v>-5370.6709772932491</v>
      </c>
      <c r="C28" s="38"/>
      <c r="D28" s="38">
        <f t="shared" ref="D28:V28" si="19">IF(D13="Р",IF(AND(D13="Р",D12="С"),D23*1%,0),0)</f>
        <v>0</v>
      </c>
      <c r="E28" s="38">
        <f t="shared" si="19"/>
        <v>0</v>
      </c>
      <c r="F28" s="38">
        <f t="shared" si="19"/>
        <v>0</v>
      </c>
      <c r="G28" s="38">
        <f t="shared" si="19"/>
        <v>0</v>
      </c>
      <c r="H28" s="38">
        <f t="shared" si="19"/>
        <v>0</v>
      </c>
      <c r="I28" s="38">
        <f t="shared" si="19"/>
        <v>0</v>
      </c>
      <c r="J28" s="38">
        <f t="shared" si="19"/>
        <v>0</v>
      </c>
      <c r="K28" s="38">
        <f t="shared" si="19"/>
        <v>0</v>
      </c>
      <c r="L28" s="38">
        <f t="shared" si="19"/>
        <v>0</v>
      </c>
      <c r="M28" s="38">
        <f t="shared" si="19"/>
        <v>0</v>
      </c>
      <c r="N28" s="38">
        <f t="shared" si="19"/>
        <v>-1074.1341954586499</v>
      </c>
      <c r="O28" s="38">
        <f t="shared" si="19"/>
        <v>-1074.1341954586499</v>
      </c>
      <c r="P28" s="38">
        <f t="shared" si="19"/>
        <v>-1074.1341954586499</v>
      </c>
      <c r="Q28" s="38">
        <f t="shared" si="19"/>
        <v>-1074.1341954586499</v>
      </c>
      <c r="R28" s="38">
        <f t="shared" si="19"/>
        <v>-1074.1341954586499</v>
      </c>
      <c r="S28" s="38">
        <f t="shared" si="19"/>
        <v>0</v>
      </c>
      <c r="T28" s="38">
        <f t="shared" si="19"/>
        <v>0</v>
      </c>
      <c r="U28" s="38">
        <f t="shared" si="19"/>
        <v>0</v>
      </c>
      <c r="V28" s="38">
        <f t="shared" si="19"/>
        <v>0</v>
      </c>
      <c r="W28" s="38"/>
      <c r="X28" s="38"/>
      <c r="Y28" s="38"/>
      <c r="Z28" s="38"/>
    </row>
    <row r="29" spans="1:26" x14ac:dyDescent="0.2">
      <c r="A29" s="9" t="s">
        <v>125</v>
      </c>
      <c r="B29" s="4">
        <f t="shared" si="10"/>
        <v>-5370.67097729325</v>
      </c>
      <c r="C29" s="38"/>
      <c r="D29" s="38">
        <f>IF(D13="Р",-(IF(C44+D16+SUM(D23:D28)&lt;0,($B$6-$B$7)*1%+SUM($C$29:C29),0)),0)</f>
        <v>0</v>
      </c>
      <c r="E29" s="38">
        <f>IF(E13="Р",-(IF(D44+E16+SUM(E23:E28)&lt;0,($B$6-$B$7)*1%+SUM($C$29:D29),0)),0)</f>
        <v>0</v>
      </c>
      <c r="F29" s="38">
        <f>IF(F13="Р",-(IF(E44+F16+SUM(F23:F28)&lt;0,($B$6-$B$7)*1%+SUM($C$29:E29),0)),0)</f>
        <v>0</v>
      </c>
      <c r="G29" s="38">
        <f>IF(G13="Р",-(IF(F44+G16+SUM(G23:G28)&lt;0,($B$6-$B$7)*1%+SUM($C$29:F29),0)),0)</f>
        <v>0</v>
      </c>
      <c r="H29" s="38">
        <f>IF(H13="Р",-(IF(G44+H16+SUM(H23:H28)&lt;0,($B$6-$B$7)*1%+SUM($C$29:G29),0)),0)</f>
        <v>0</v>
      </c>
      <c r="I29" s="38">
        <f>IF(I13="Р",-(IF(H44+I16+SUM(I23:I28)&lt;0,($B$6-$B$7)*1%+SUM($C$29:H29),0)),0)</f>
        <v>0</v>
      </c>
      <c r="J29" s="38">
        <f>IF(J13="Р",-(IF(I44+J16+SUM(J23:J28)&lt;0,($B$6-$B$7)*1%+SUM($C$29:I29),0)),0)</f>
        <v>0</v>
      </c>
      <c r="K29" s="38">
        <f>IF(K13="Р",-(IF(J44+K16+SUM(K23:K28)&lt;0,($B$6-$B$7)*1%+SUM($C$29:J29),0)),0)</f>
        <v>0</v>
      </c>
      <c r="L29" s="38">
        <f>IF(L13="Р",-(IF(K44+L16+SUM(L23:L28)&lt;0,($B$6-$B$7)*1%+SUM($C$29:K29),0)),0)</f>
        <v>0</v>
      </c>
      <c r="M29" s="38">
        <f>IF(M13="Р",-(IF(L44+M16+SUM(M23:M28)&lt;0,($B$6-$B$7)*1%+SUM($C$29:L29),0)),0)</f>
        <v>0</v>
      </c>
      <c r="N29" s="38">
        <f>IF(N13="Р",-(IF(M44+N16+SUM(N23:N28)&lt;0,($B$6-$B$7)*1%+SUM($C$29:M29),0)),0)</f>
        <v>-5370.67097729325</v>
      </c>
      <c r="O29" s="38">
        <f>IF(O13="Р",-(IF(N44+O16+SUM(O23:O28)&lt;0,($B$6-$B$7)*1%+SUM($C$29:N29),0)),0)</f>
        <v>0</v>
      </c>
      <c r="P29" s="38">
        <f>IF(P13="Р",-(IF(O44+P16+SUM(P23:P28)&lt;0,($B$6-$B$7)*1%+SUM($C$29:O29),0)),0)</f>
        <v>0</v>
      </c>
      <c r="Q29" s="38">
        <f>IF(Q13="Р",-(IF(P44+Q16+SUM(Q23:Q28)&lt;0,($B$6-$B$7)*1%+SUM($C$29:P29),0)),0)</f>
        <v>0</v>
      </c>
      <c r="R29" s="38">
        <f>IF(R13="Р",-(IF(Q44+R16+SUM(R23:R28)&lt;0,($B$6-$B$7)*1%+SUM($C$29:Q29),0)),0)</f>
        <v>0</v>
      </c>
      <c r="S29" s="38">
        <f>IF(S13="Р",-(IF(R44+S16+SUM(S23:S28)&lt;0,($B$6-$B$7)*1%+SUM($C$29:R29),0)),0)</f>
        <v>0</v>
      </c>
      <c r="T29" s="38">
        <f>IF(T13="Р",-(IF(S44+T16+SUM(T23:T28)&lt;0,($B$6-$B$7)*1%+SUM($C$29:S29),0)),0)</f>
        <v>0</v>
      </c>
      <c r="U29" s="38">
        <f>IF(U13="Р",-(IF(T44+U16+SUM(U23:U28)&lt;0,($B$6-$B$7)*1%+SUM($C$29:T29),0)),0)</f>
        <v>0</v>
      </c>
      <c r="V29" s="38">
        <f>IF(V13="Р",-(IF(U44+V16+SUM(V23:V28)&lt;0,($B$6-$B$7)*1%+SUM($C$29:U29),0)),0)</f>
        <v>0</v>
      </c>
      <c r="W29" s="38"/>
      <c r="X29" s="38"/>
      <c r="Y29" s="38"/>
      <c r="Z29" s="38"/>
    </row>
    <row r="30" spans="1:26" s="44" customFormat="1" x14ac:dyDescent="0.2">
      <c r="A30" s="43" t="s">
        <v>41</v>
      </c>
      <c r="B30" s="49"/>
      <c r="C30" s="49">
        <f t="shared" ref="C30:Z30" si="20">B44+C16+C22</f>
        <v>0</v>
      </c>
      <c r="D30" s="49">
        <f t="shared" si="20"/>
        <v>0</v>
      </c>
      <c r="E30" s="49">
        <f t="shared" si="20"/>
        <v>0</v>
      </c>
      <c r="F30" s="49">
        <f t="shared" si="20"/>
        <v>0</v>
      </c>
      <c r="G30" s="49">
        <f t="shared" si="20"/>
        <v>0</v>
      </c>
      <c r="H30" s="49">
        <f t="shared" si="20"/>
        <v>0</v>
      </c>
      <c r="I30" s="49">
        <f t="shared" si="20"/>
        <v>0</v>
      </c>
      <c r="J30" s="49">
        <f t="shared" si="20"/>
        <v>0</v>
      </c>
      <c r="K30" s="49">
        <f t="shared" si="20"/>
        <v>0</v>
      </c>
      <c r="L30" s="49">
        <f t="shared" si="20"/>
        <v>0</v>
      </c>
      <c r="M30" s="49">
        <f t="shared" si="20"/>
        <v>0</v>
      </c>
      <c r="N30" s="49">
        <f t="shared" si="20"/>
        <v>-23895.753206839159</v>
      </c>
      <c r="O30" s="49">
        <f t="shared" si="20"/>
        <v>-18237.533453176584</v>
      </c>
      <c r="P30" s="49">
        <f t="shared" si="20"/>
        <v>-17788.617974318564</v>
      </c>
      <c r="Q30" s="49">
        <f t="shared" si="20"/>
        <v>-17308.120397647363</v>
      </c>
      <c r="R30" s="49">
        <f t="shared" si="20"/>
        <v>-16794.793088473729</v>
      </c>
      <c r="S30" s="49">
        <f t="shared" si="20"/>
        <v>92344.120843947632</v>
      </c>
      <c r="T30" s="49">
        <f t="shared" si="20"/>
        <v>102222.07313199955</v>
      </c>
      <c r="U30" s="49">
        <f t="shared" si="20"/>
        <v>86661.371501402333</v>
      </c>
      <c r="V30" s="49">
        <f t="shared" si="20"/>
        <v>105355.02270120647</v>
      </c>
      <c r="W30" s="49">
        <f t="shared" si="20"/>
        <v>0</v>
      </c>
      <c r="X30" s="49">
        <f t="shared" si="20"/>
        <v>0</v>
      </c>
      <c r="Y30" s="49">
        <f t="shared" si="20"/>
        <v>0</v>
      </c>
      <c r="Z30" s="49">
        <f t="shared" si="20"/>
        <v>0</v>
      </c>
    </row>
    <row r="31" spans="1:26" x14ac:dyDescent="0.2">
      <c r="A31" s="9" t="s">
        <v>61</v>
      </c>
      <c r="B31" s="4">
        <f>SUM(C31:Z31)</f>
        <v>-484644.58305409725</v>
      </c>
      <c r="C31" s="38">
        <f t="shared" ref="C31:Z31" si="21">IF(C12="С",-C17,0)</f>
        <v>0</v>
      </c>
      <c r="D31" s="38">
        <f t="shared" si="21"/>
        <v>0</v>
      </c>
      <c r="E31" s="38">
        <f t="shared" si="21"/>
        <v>0</v>
      </c>
      <c r="F31" s="38">
        <f t="shared" si="21"/>
        <v>0</v>
      </c>
      <c r="G31" s="38">
        <f t="shared" si="21"/>
        <v>0</v>
      </c>
      <c r="H31" s="38">
        <f t="shared" si="21"/>
        <v>0</v>
      </c>
      <c r="I31" s="38">
        <f t="shared" si="21"/>
        <v>0</v>
      </c>
      <c r="J31" s="38">
        <f t="shared" si="21"/>
        <v>0</v>
      </c>
      <c r="K31" s="38">
        <f t="shared" si="21"/>
        <v>0</v>
      </c>
      <c r="L31" s="38">
        <f t="shared" si="21"/>
        <v>0</v>
      </c>
      <c r="M31" s="38">
        <f t="shared" si="21"/>
        <v>0</v>
      </c>
      <c r="N31" s="38">
        <f t="shared" si="21"/>
        <v>-92664.147281705838</v>
      </c>
      <c r="O31" s="38">
        <f t="shared" si="21"/>
        <v>-94749.090595544229</v>
      </c>
      <c r="P31" s="38">
        <f t="shared" si="21"/>
        <v>-96880.945133943969</v>
      </c>
      <c r="Q31" s="38">
        <f t="shared" si="21"/>
        <v>-99060.766399457716</v>
      </c>
      <c r="R31" s="38">
        <f t="shared" si="21"/>
        <v>-101289.63364344552</v>
      </c>
      <c r="S31" s="38">
        <f t="shared" si="21"/>
        <v>0</v>
      </c>
      <c r="T31" s="38">
        <f t="shared" si="21"/>
        <v>0</v>
      </c>
      <c r="U31" s="38">
        <f t="shared" si="21"/>
        <v>0</v>
      </c>
      <c r="V31" s="38">
        <f t="shared" si="21"/>
        <v>0</v>
      </c>
      <c r="W31" s="38">
        <f t="shared" si="21"/>
        <v>0</v>
      </c>
      <c r="X31" s="38">
        <f t="shared" si="21"/>
        <v>0</v>
      </c>
      <c r="Y31" s="38">
        <f t="shared" si="21"/>
        <v>0</v>
      </c>
      <c r="Z31" s="38">
        <f t="shared" si="21"/>
        <v>0</v>
      </c>
    </row>
    <row r="32" spans="1:26" x14ac:dyDescent="0.2">
      <c r="A32" s="9" t="s">
        <v>26</v>
      </c>
      <c r="B32" s="4">
        <f>SUM(C32:Z32)</f>
        <v>484644.58305409725</v>
      </c>
      <c r="C32" s="38">
        <f>IF(C12="П",-B33,0)</f>
        <v>0</v>
      </c>
      <c r="D32" s="38">
        <f>IF(D12="П",-C33,0)</f>
        <v>0</v>
      </c>
      <c r="E32" s="38">
        <f t="shared" ref="E32:Z32" si="22">IF(E12="Э",-D33,0)</f>
        <v>0</v>
      </c>
      <c r="F32" s="38">
        <f t="shared" si="22"/>
        <v>0</v>
      </c>
      <c r="G32" s="38">
        <f t="shared" si="22"/>
        <v>0</v>
      </c>
      <c r="H32" s="38">
        <f t="shared" si="22"/>
        <v>0</v>
      </c>
      <c r="I32" s="38">
        <f t="shared" si="22"/>
        <v>0</v>
      </c>
      <c r="J32" s="38">
        <f t="shared" si="22"/>
        <v>0</v>
      </c>
      <c r="K32" s="38">
        <f t="shared" si="22"/>
        <v>0</v>
      </c>
      <c r="L32" s="38">
        <f t="shared" si="22"/>
        <v>0</v>
      </c>
      <c r="M32" s="38">
        <f t="shared" si="22"/>
        <v>0</v>
      </c>
      <c r="N32" s="38">
        <f t="shared" si="22"/>
        <v>0</v>
      </c>
      <c r="O32" s="38">
        <f t="shared" si="22"/>
        <v>0</v>
      </c>
      <c r="P32" s="38">
        <f t="shared" si="22"/>
        <v>0</v>
      </c>
      <c r="Q32" s="38">
        <f t="shared" si="22"/>
        <v>0</v>
      </c>
      <c r="R32" s="38">
        <f t="shared" si="22"/>
        <v>0</v>
      </c>
      <c r="S32" s="38">
        <f t="shared" si="22"/>
        <v>484644.58305409725</v>
      </c>
      <c r="T32" s="38">
        <f t="shared" si="22"/>
        <v>0</v>
      </c>
      <c r="U32" s="38">
        <f t="shared" si="22"/>
        <v>0</v>
      </c>
      <c r="V32" s="38">
        <f t="shared" si="22"/>
        <v>0</v>
      </c>
      <c r="W32" s="38">
        <f t="shared" si="22"/>
        <v>0</v>
      </c>
      <c r="X32" s="38">
        <f t="shared" si="22"/>
        <v>0</v>
      </c>
      <c r="Y32" s="38">
        <f t="shared" si="22"/>
        <v>0</v>
      </c>
      <c r="Z32" s="38">
        <f t="shared" si="22"/>
        <v>0</v>
      </c>
    </row>
    <row r="33" spans="1:26" x14ac:dyDescent="0.2">
      <c r="A33" s="29" t="s">
        <v>62</v>
      </c>
      <c r="B33" s="65"/>
      <c r="C33" s="42">
        <f t="shared" ref="C33:Z33" si="23">B33+C31+C32</f>
        <v>0</v>
      </c>
      <c r="D33" s="42">
        <f t="shared" si="23"/>
        <v>0</v>
      </c>
      <c r="E33" s="42">
        <f t="shared" si="23"/>
        <v>0</v>
      </c>
      <c r="F33" s="42">
        <f t="shared" si="23"/>
        <v>0</v>
      </c>
      <c r="G33" s="42">
        <f t="shared" si="23"/>
        <v>0</v>
      </c>
      <c r="H33" s="42">
        <f t="shared" si="23"/>
        <v>0</v>
      </c>
      <c r="I33" s="42">
        <f t="shared" si="23"/>
        <v>0</v>
      </c>
      <c r="J33" s="42">
        <f t="shared" si="23"/>
        <v>0</v>
      </c>
      <c r="K33" s="42">
        <f t="shared" si="23"/>
        <v>0</v>
      </c>
      <c r="L33" s="42">
        <f t="shared" si="23"/>
        <v>0</v>
      </c>
      <c r="M33" s="42">
        <f t="shared" si="23"/>
        <v>0</v>
      </c>
      <c r="N33" s="42">
        <f t="shared" si="23"/>
        <v>-92664.147281705838</v>
      </c>
      <c r="O33" s="42">
        <f t="shared" si="23"/>
        <v>-187413.23787725007</v>
      </c>
      <c r="P33" s="42">
        <f t="shared" si="23"/>
        <v>-284294.18301119405</v>
      </c>
      <c r="Q33" s="42">
        <f t="shared" si="23"/>
        <v>-383354.94941065175</v>
      </c>
      <c r="R33" s="42">
        <f t="shared" si="23"/>
        <v>-484644.58305409725</v>
      </c>
      <c r="S33" s="42">
        <f t="shared" si="23"/>
        <v>0</v>
      </c>
      <c r="T33" s="42">
        <f t="shared" si="23"/>
        <v>0</v>
      </c>
      <c r="U33" s="42">
        <f t="shared" si="23"/>
        <v>0</v>
      </c>
      <c r="V33" s="42">
        <f t="shared" si="23"/>
        <v>0</v>
      </c>
      <c r="W33" s="42">
        <f t="shared" si="23"/>
        <v>0</v>
      </c>
      <c r="X33" s="42">
        <f t="shared" si="23"/>
        <v>0</v>
      </c>
      <c r="Y33" s="42">
        <f t="shared" si="23"/>
        <v>0</v>
      </c>
      <c r="Z33" s="42">
        <f t="shared" si="23"/>
        <v>0</v>
      </c>
    </row>
    <row r="34" spans="1:26" s="44" customFormat="1" x14ac:dyDescent="0.2">
      <c r="A34" s="43" t="s">
        <v>27</v>
      </c>
      <c r="B34" s="49"/>
      <c r="C34" s="49">
        <f t="shared" ref="C34:Z34" si="24">C30+C31+C32</f>
        <v>0</v>
      </c>
      <c r="D34" s="49">
        <f t="shared" si="24"/>
        <v>0</v>
      </c>
      <c r="E34" s="49">
        <f t="shared" si="24"/>
        <v>0</v>
      </c>
      <c r="F34" s="49">
        <f t="shared" si="24"/>
        <v>0</v>
      </c>
      <c r="G34" s="49">
        <f t="shared" si="24"/>
        <v>0</v>
      </c>
      <c r="H34" s="49">
        <f t="shared" si="24"/>
        <v>0</v>
      </c>
      <c r="I34" s="49">
        <f t="shared" si="24"/>
        <v>0</v>
      </c>
      <c r="J34" s="49">
        <f t="shared" si="24"/>
        <v>0</v>
      </c>
      <c r="K34" s="49">
        <f t="shared" si="24"/>
        <v>0</v>
      </c>
      <c r="L34" s="49">
        <f t="shared" si="24"/>
        <v>0</v>
      </c>
      <c r="M34" s="49">
        <f t="shared" si="24"/>
        <v>0</v>
      </c>
      <c r="N34" s="49">
        <f t="shared" si="24"/>
        <v>-116559.900488545</v>
      </c>
      <c r="O34" s="49">
        <f t="shared" si="24"/>
        <v>-112986.62404872081</v>
      </c>
      <c r="P34" s="49">
        <f t="shared" si="24"/>
        <v>-114669.56310826253</v>
      </c>
      <c r="Q34" s="49">
        <f t="shared" si="24"/>
        <v>-116368.88679710508</v>
      </c>
      <c r="R34" s="49">
        <f t="shared" si="24"/>
        <v>-118084.42673191924</v>
      </c>
      <c r="S34" s="49">
        <f t="shared" si="24"/>
        <v>576988.70389804489</v>
      </c>
      <c r="T34" s="49">
        <f t="shared" si="24"/>
        <v>102222.07313199955</v>
      </c>
      <c r="U34" s="49">
        <f t="shared" si="24"/>
        <v>86661.371501402333</v>
      </c>
      <c r="V34" s="49">
        <f t="shared" si="24"/>
        <v>105355.02270120647</v>
      </c>
      <c r="W34" s="49">
        <f t="shared" si="24"/>
        <v>0</v>
      </c>
      <c r="X34" s="49">
        <f t="shared" si="24"/>
        <v>0</v>
      </c>
      <c r="Y34" s="49">
        <f t="shared" si="24"/>
        <v>0</v>
      </c>
      <c r="Z34" s="49">
        <f t="shared" si="24"/>
        <v>0</v>
      </c>
    </row>
    <row r="35" spans="1:26" x14ac:dyDescent="0.2">
      <c r="A35" s="9" t="s">
        <v>42</v>
      </c>
      <c r="B35" s="4">
        <f>SUM(C35:Z35)</f>
        <v>578669.40117455274</v>
      </c>
      <c r="C35" s="38">
        <f t="shared" ref="C35:D35" si="25">IF(C34&lt;0,-C34,0)</f>
        <v>0</v>
      </c>
      <c r="D35" s="38">
        <f t="shared" si="25"/>
        <v>0</v>
      </c>
      <c r="E35" s="38">
        <f t="shared" ref="E35:Z35" si="26">IF(E12="С",IF(E34&lt;0,-E34,0),0)</f>
        <v>0</v>
      </c>
      <c r="F35" s="38">
        <f t="shared" si="26"/>
        <v>0</v>
      </c>
      <c r="G35" s="38">
        <f t="shared" si="26"/>
        <v>0</v>
      </c>
      <c r="H35" s="38">
        <f t="shared" si="26"/>
        <v>0</v>
      </c>
      <c r="I35" s="38">
        <f t="shared" si="26"/>
        <v>0</v>
      </c>
      <c r="J35" s="38">
        <f t="shared" si="26"/>
        <v>0</v>
      </c>
      <c r="K35" s="38">
        <f t="shared" si="26"/>
        <v>0</v>
      </c>
      <c r="L35" s="38">
        <f t="shared" si="26"/>
        <v>0</v>
      </c>
      <c r="M35" s="38">
        <f t="shared" si="26"/>
        <v>0</v>
      </c>
      <c r="N35" s="38">
        <f t="shared" si="26"/>
        <v>116559.900488545</v>
      </c>
      <c r="O35" s="38">
        <f t="shared" si="26"/>
        <v>112986.62404872081</v>
      </c>
      <c r="P35" s="38">
        <f t="shared" si="26"/>
        <v>114669.56310826253</v>
      </c>
      <c r="Q35" s="38">
        <f t="shared" si="26"/>
        <v>116368.88679710508</v>
      </c>
      <c r="R35" s="38">
        <f t="shared" si="26"/>
        <v>118084.42673191924</v>
      </c>
      <c r="S35" s="38">
        <f t="shared" si="26"/>
        <v>0</v>
      </c>
      <c r="T35" s="38">
        <f t="shared" si="26"/>
        <v>0</v>
      </c>
      <c r="U35" s="38">
        <f t="shared" si="26"/>
        <v>0</v>
      </c>
      <c r="V35" s="38">
        <f t="shared" si="26"/>
        <v>0</v>
      </c>
      <c r="W35" s="38">
        <f t="shared" si="26"/>
        <v>0</v>
      </c>
      <c r="X35" s="38">
        <f t="shared" si="26"/>
        <v>0</v>
      </c>
      <c r="Y35" s="38">
        <f t="shared" si="26"/>
        <v>0</v>
      </c>
      <c r="Z35" s="38">
        <f t="shared" si="26"/>
        <v>0</v>
      </c>
    </row>
    <row r="36" spans="1:26" x14ac:dyDescent="0.2">
      <c r="A36" s="9" t="s">
        <v>43</v>
      </c>
      <c r="B36" s="4">
        <f>SUM(C36:Z36)</f>
        <v>-578669.40117455274</v>
      </c>
      <c r="C36" s="38">
        <f t="shared" ref="C36:Z36" si="27">IF(C34&gt;0,-MIN(B37,C34),0)</f>
        <v>0</v>
      </c>
      <c r="D36" s="38">
        <f t="shared" si="27"/>
        <v>0</v>
      </c>
      <c r="E36" s="38">
        <f t="shared" si="27"/>
        <v>0</v>
      </c>
      <c r="F36" s="38">
        <f t="shared" si="27"/>
        <v>0</v>
      </c>
      <c r="G36" s="38">
        <f t="shared" si="27"/>
        <v>0</v>
      </c>
      <c r="H36" s="38">
        <f t="shared" si="27"/>
        <v>0</v>
      </c>
      <c r="I36" s="38">
        <f t="shared" si="27"/>
        <v>0</v>
      </c>
      <c r="J36" s="38">
        <f t="shared" si="27"/>
        <v>0</v>
      </c>
      <c r="K36" s="38">
        <f t="shared" si="27"/>
        <v>0</v>
      </c>
      <c r="L36" s="38">
        <f t="shared" si="27"/>
        <v>0</v>
      </c>
      <c r="M36" s="38">
        <f t="shared" si="27"/>
        <v>0</v>
      </c>
      <c r="N36" s="38">
        <f t="shared" si="27"/>
        <v>0</v>
      </c>
      <c r="O36" s="38">
        <f t="shared" si="27"/>
        <v>0</v>
      </c>
      <c r="P36" s="38">
        <f t="shared" si="27"/>
        <v>0</v>
      </c>
      <c r="Q36" s="38">
        <f t="shared" si="27"/>
        <v>0</v>
      </c>
      <c r="R36" s="38">
        <f t="shared" si="27"/>
        <v>0</v>
      </c>
      <c r="S36" s="38">
        <f t="shared" si="27"/>
        <v>-576988.70389804489</v>
      </c>
      <c r="T36" s="38">
        <f t="shared" si="27"/>
        <v>-1680.6972765078535</v>
      </c>
      <c r="U36" s="38">
        <f t="shared" si="27"/>
        <v>0</v>
      </c>
      <c r="V36" s="38">
        <f t="shared" si="27"/>
        <v>0</v>
      </c>
      <c r="W36" s="38">
        <f t="shared" si="27"/>
        <v>0</v>
      </c>
      <c r="X36" s="38">
        <f t="shared" si="27"/>
        <v>0</v>
      </c>
      <c r="Y36" s="38">
        <f t="shared" si="27"/>
        <v>0</v>
      </c>
      <c r="Z36" s="38">
        <f t="shared" si="27"/>
        <v>0</v>
      </c>
    </row>
    <row r="37" spans="1:26" x14ac:dyDescent="0.2">
      <c r="A37" s="29" t="s">
        <v>4</v>
      </c>
      <c r="B37" s="65"/>
      <c r="C37" s="42">
        <f t="shared" ref="C37:Z37" si="28">B37+C35+C36</f>
        <v>0</v>
      </c>
      <c r="D37" s="42">
        <f t="shared" si="28"/>
        <v>0</v>
      </c>
      <c r="E37" s="42">
        <f t="shared" si="28"/>
        <v>0</v>
      </c>
      <c r="F37" s="42">
        <f t="shared" si="28"/>
        <v>0</v>
      </c>
      <c r="G37" s="42">
        <f t="shared" si="28"/>
        <v>0</v>
      </c>
      <c r="H37" s="42">
        <f t="shared" si="28"/>
        <v>0</v>
      </c>
      <c r="I37" s="42">
        <f t="shared" si="28"/>
        <v>0</v>
      </c>
      <c r="J37" s="42">
        <f t="shared" si="28"/>
        <v>0</v>
      </c>
      <c r="K37" s="42">
        <f t="shared" si="28"/>
        <v>0</v>
      </c>
      <c r="L37" s="42">
        <f t="shared" si="28"/>
        <v>0</v>
      </c>
      <c r="M37" s="42">
        <f t="shared" si="28"/>
        <v>0</v>
      </c>
      <c r="N37" s="42">
        <f t="shared" si="28"/>
        <v>116559.900488545</v>
      </c>
      <c r="O37" s="42">
        <f t="shared" si="28"/>
        <v>229546.52453726582</v>
      </c>
      <c r="P37" s="42">
        <f t="shared" si="28"/>
        <v>344216.08764552837</v>
      </c>
      <c r="Q37" s="42">
        <f t="shared" si="28"/>
        <v>460584.97444263345</v>
      </c>
      <c r="R37" s="42">
        <f t="shared" si="28"/>
        <v>578669.40117455274</v>
      </c>
      <c r="S37" s="42">
        <f t="shared" si="28"/>
        <v>1680.6972765078535</v>
      </c>
      <c r="T37" s="42">
        <f t="shared" si="28"/>
        <v>0</v>
      </c>
      <c r="U37" s="42">
        <f t="shared" si="28"/>
        <v>0</v>
      </c>
      <c r="V37" s="42">
        <f t="shared" si="28"/>
        <v>0</v>
      </c>
      <c r="W37" s="42">
        <f t="shared" si="28"/>
        <v>0</v>
      </c>
      <c r="X37" s="42">
        <f t="shared" si="28"/>
        <v>0</v>
      </c>
      <c r="Y37" s="42">
        <f t="shared" si="28"/>
        <v>0</v>
      </c>
      <c r="Z37" s="42">
        <f t="shared" si="28"/>
        <v>0</v>
      </c>
    </row>
    <row r="38" spans="1:26" x14ac:dyDescent="0.2">
      <c r="A38" s="66" t="s">
        <v>28</v>
      </c>
      <c r="B38" s="65"/>
      <c r="C38" s="42">
        <f t="shared" ref="C38:Z38" si="29">C37+C33</f>
        <v>0</v>
      </c>
      <c r="D38" s="42">
        <f t="shared" si="29"/>
        <v>0</v>
      </c>
      <c r="E38" s="42">
        <f t="shared" si="29"/>
        <v>0</v>
      </c>
      <c r="F38" s="42">
        <f t="shared" si="29"/>
        <v>0</v>
      </c>
      <c r="G38" s="42">
        <f t="shared" si="29"/>
        <v>0</v>
      </c>
      <c r="H38" s="42">
        <f t="shared" si="29"/>
        <v>0</v>
      </c>
      <c r="I38" s="42">
        <f t="shared" si="29"/>
        <v>0</v>
      </c>
      <c r="J38" s="42">
        <f t="shared" si="29"/>
        <v>0</v>
      </c>
      <c r="K38" s="42">
        <f t="shared" si="29"/>
        <v>0</v>
      </c>
      <c r="L38" s="42">
        <f t="shared" si="29"/>
        <v>0</v>
      </c>
      <c r="M38" s="42">
        <f t="shared" si="29"/>
        <v>0</v>
      </c>
      <c r="N38" s="42">
        <f t="shared" si="29"/>
        <v>23895.753206839159</v>
      </c>
      <c r="O38" s="42">
        <f t="shared" si="29"/>
        <v>42133.286660015758</v>
      </c>
      <c r="P38" s="42">
        <f t="shared" si="29"/>
        <v>59921.904634334322</v>
      </c>
      <c r="Q38" s="42">
        <f t="shared" si="29"/>
        <v>77230.025031981699</v>
      </c>
      <c r="R38" s="42">
        <f t="shared" si="29"/>
        <v>94024.818120455486</v>
      </c>
      <c r="S38" s="42">
        <f t="shared" si="29"/>
        <v>1680.6972765078535</v>
      </c>
      <c r="T38" s="42">
        <f t="shared" si="29"/>
        <v>0</v>
      </c>
      <c r="U38" s="42">
        <f t="shared" si="29"/>
        <v>0</v>
      </c>
      <c r="V38" s="42">
        <f t="shared" si="29"/>
        <v>0</v>
      </c>
      <c r="W38" s="42">
        <f t="shared" si="29"/>
        <v>0</v>
      </c>
      <c r="X38" s="42">
        <f t="shared" si="29"/>
        <v>0</v>
      </c>
      <c r="Y38" s="42">
        <f t="shared" si="29"/>
        <v>0</v>
      </c>
      <c r="Z38" s="42">
        <f t="shared" si="29"/>
        <v>0</v>
      </c>
    </row>
    <row r="39" spans="1:26" x14ac:dyDescent="0.2">
      <c r="A39" s="29" t="s">
        <v>124</v>
      </c>
      <c r="B39" s="65"/>
      <c r="C39" s="128">
        <f>IF(B37&gt;0,IF(B37&gt;-B33,(-B33*ИДиР!$B$21+(B37+B33)*ИДиР!$B$20)/B37,MAX((B37*ИДиР!$B$21-(-B33-B37)*ИДиР!$B$22)/B37,0.01%)),0)</f>
        <v>0</v>
      </c>
      <c r="D39" s="128">
        <f>IF(C37&gt;0,IF(C37&gt;-C33,(-C33*ИДиР!$B$21+(C37+C33)*ИДиР!$B$20)/C37,MAX((C37*ИДиР!$B$21-(-C33-C37)*ИДиР!$B$22)/C37,0.01%)),0)</f>
        <v>0</v>
      </c>
      <c r="E39" s="128">
        <f>IF(D37&gt;0,IF(D37&gt;-D33,(-D33*ИДиР!$B$21+(D37+D33)*ИДиР!$B$20)/D37,MAX((D37*ИДиР!$B$21-(-D33-D37)*ИДиР!$B$22)/D37,0.01%)),0)</f>
        <v>0</v>
      </c>
      <c r="F39" s="128">
        <f>IF(E37&gt;0,IF(E37&gt;-E33,(-E33*ИДиР!$B$21+(E37+E33)*ИДиР!$B$20)/E37,MAX((E37*ИДиР!$B$21-(-E33-E37)*ИДиР!$B$22)/E37,0.01%)),0)</f>
        <v>0</v>
      </c>
      <c r="G39" s="128">
        <f>IF(F37&gt;0,IF(F37&gt;-F33,(-F33*ИДиР!$B$21+(F37+F33)*ИДиР!$B$20)/F37,MAX((F37*ИДиР!$B$21-(-F33-F37)*ИДиР!$B$22)/F37,0.01%)),0)</f>
        <v>0</v>
      </c>
      <c r="H39" s="128">
        <f>IF(G37&gt;0,IF(G37&gt;-G33,(-G33*ИДиР!$B$21+(G37+G33)*ИДиР!$B$20)/G37,MAX((G37*ИДиР!$B$21-(-G33-G37)*ИДиР!$B$22)/G37,0.01%)),0)</f>
        <v>0</v>
      </c>
      <c r="I39" s="128">
        <f>IF(H37&gt;0,IF(H37&gt;-H33,(-H33*ИДиР!$B$21+(H37+H33)*ИДиР!$B$20)/H37,MAX((H37*ИДиР!$B$21-(-H33-H37)*ИДиР!$B$22)/H37,0.01%)),0)</f>
        <v>0</v>
      </c>
      <c r="J39" s="128">
        <f>IF(I37&gt;0,IF(I37&gt;-I33,(-I33*ИДиР!$B$21+(I37+I33)*ИДиР!$B$20)/I37,MAX((I37*ИДиР!$B$21-(-I33-I37)*ИДиР!$B$22)/I37,0.01%)),0)</f>
        <v>0</v>
      </c>
      <c r="K39" s="128">
        <f>IF(J37&gt;0,IF(J37&gt;-J33,(-J33*ИДиР!$B$21+(J37+J33)*ИДиР!$B$20)/J37,MAX((J37*ИДиР!$B$21-(-J33-J37)*ИДиР!$B$22)/J37,0.01%)),0)</f>
        <v>0</v>
      </c>
      <c r="L39" s="128">
        <f>IF(K37&gt;0,IF(K37&gt;-K33,(-K33*ИДиР!$B$21+(K37+K33)*ИДиР!$B$20)/K37,MAX((K37*ИДиР!$B$21-(-K33-K37)*ИДиР!$B$22)/K37,0.01%)),0)</f>
        <v>0</v>
      </c>
      <c r="M39" s="128">
        <f>IF(L37&gt;0,IF(L37&gt;-L33,(-L33*ИДиР!$B$21+(L37+L33)*ИДиР!$B$20)/L37,MAX((L37*ИДиР!$B$21-(-L33-L37)*ИДиР!$B$22)/L37,0.01%)),0)</f>
        <v>0</v>
      </c>
      <c r="N39" s="128">
        <f>IF(M37&gt;0,IF(M37&gt;-M33,(-M33*ИДиР!$B$21+(M37+M33)*ИДиР!$B$20)/M37,MAX((M37*ИДиР!$B$21-(-M33-M37)*ИДиР!$B$22)/M37,0.01%)),0)</f>
        <v>0</v>
      </c>
      <c r="O39" s="128">
        <f>IF(N37&gt;0,IF(N37&gt;-N33,(-N33*ИДиР!$B$21+(N37+N33)*ИДиР!$B$20)/N37,MAX((N37*ИДиР!$B$21-(-N33-N37)*ИДиР!$B$22)/N37,0.01%)),0)</f>
        <v>6.0250417642209446E-2</v>
      </c>
      <c r="P39" s="128">
        <f>IF(O37&gt;0,IF(O37&gt;-O33,(-O33*ИДиР!$B$21+(O37+O33)*ИДиР!$B$20)/O37,MAX((O37*ИДиР!$B$21-(-O33-O37)*ИДиР!$B$22)/O37,0.01%)),0)</f>
        <v>5.9177504809744055E-2</v>
      </c>
      <c r="Q39" s="128">
        <f>IF(P37&gt;0,IF(P37&gt;-P33,(-P33*ИДиР!$B$21+(P37+P33)*ИДиР!$B$20)/P37,MAX((P37*ИДиР!$B$21-(-P33-P37)*ИДиР!$B$22)/P37,0.01%)),0)</f>
        <v>5.8704111571920715E-2</v>
      </c>
      <c r="R39" s="128">
        <f>IF(Q37&gt;0,IF(Q37&gt;-Q33,(-Q33*ИДиР!$B$21+(Q37+Q33)*ИДиР!$B$20)/Q37,MAX((Q37*ИДиР!$B$21-(-Q33-Q37)*ИДиР!$B$22)/Q37,0.01%)),0)</f>
        <v>5.8383906262404667E-2</v>
      </c>
      <c r="S39" s="128">
        <f>IF(R37&gt;0,IF(R37&gt;-R33,(-R33*ИДиР!$B$21+(R37+R33)*ИДиР!$B$20)/R37,MAX((R37*ИДиР!$B$21-(-R33-R37)*ИДиР!$B$22)/R37,0.01%)),0)</f>
        <v>5.8124225847228907E-2</v>
      </c>
      <c r="T39" s="128">
        <f>IF(S37&gt;0,IF(S37&gt;-S33,(-S33*ИДиР!$B$21+(S37+S33)*ИДиР!$B$20)/S37,MAX((S37*ИДиР!$B$21-(-S33-S37)*ИДиР!$B$22)/S37,0.01%)),0)</f>
        <v>0.1</v>
      </c>
      <c r="U39" s="128">
        <f>IF(T37&gt;0,IF(T37&gt;-T33,(-T33*ИДиР!$B$21+(T37+T33)*ИДиР!$B$20)/T37,MAX((T37*ИДиР!$B$21-(-T33-T37)*ИДиР!$B$22)/T37,0.01%)),0)</f>
        <v>0</v>
      </c>
      <c r="V39" s="128">
        <f>IF(U37&gt;0,IF(U37&gt;-U33,(-U33*ИДиР!$B$21+(U37+U33)*ИДиР!$B$20)/U37,MAX((U37*ИДиР!$B$21-(-U33-U37)*ИДиР!$B$22)/U37,0.01%)),0)</f>
        <v>0</v>
      </c>
      <c r="W39" s="42"/>
      <c r="X39" s="42"/>
      <c r="Y39" s="42"/>
      <c r="Z39" s="42"/>
    </row>
    <row r="40" spans="1:26" s="44" customFormat="1" x14ac:dyDescent="0.2">
      <c r="A40" s="43" t="s">
        <v>0</v>
      </c>
      <c r="B40" s="49"/>
      <c r="C40" s="49">
        <f t="shared" ref="C40:Z40" si="30">C34+C35+C36</f>
        <v>0</v>
      </c>
      <c r="D40" s="49">
        <f t="shared" si="30"/>
        <v>0</v>
      </c>
      <c r="E40" s="49">
        <f t="shared" si="30"/>
        <v>0</v>
      </c>
      <c r="F40" s="49">
        <f t="shared" si="30"/>
        <v>0</v>
      </c>
      <c r="G40" s="49">
        <f t="shared" si="30"/>
        <v>0</v>
      </c>
      <c r="H40" s="49">
        <f t="shared" si="30"/>
        <v>0</v>
      </c>
      <c r="I40" s="49">
        <f t="shared" si="30"/>
        <v>0</v>
      </c>
      <c r="J40" s="49">
        <f t="shared" si="30"/>
        <v>0</v>
      </c>
      <c r="K40" s="49">
        <f t="shared" si="30"/>
        <v>0</v>
      </c>
      <c r="L40" s="49">
        <f t="shared" si="30"/>
        <v>0</v>
      </c>
      <c r="M40" s="49">
        <f t="shared" si="30"/>
        <v>0</v>
      </c>
      <c r="N40" s="49">
        <f t="shared" si="30"/>
        <v>0</v>
      </c>
      <c r="O40" s="49">
        <f t="shared" si="30"/>
        <v>0</v>
      </c>
      <c r="P40" s="49">
        <f t="shared" si="30"/>
        <v>0</v>
      </c>
      <c r="Q40" s="49">
        <f t="shared" si="30"/>
        <v>0</v>
      </c>
      <c r="R40" s="49">
        <f t="shared" si="30"/>
        <v>0</v>
      </c>
      <c r="S40" s="49">
        <f t="shared" si="30"/>
        <v>0</v>
      </c>
      <c r="T40" s="49">
        <f t="shared" si="30"/>
        <v>100541.3758554917</v>
      </c>
      <c r="U40" s="49">
        <f t="shared" si="30"/>
        <v>86661.371501402333</v>
      </c>
      <c r="V40" s="49">
        <f t="shared" si="30"/>
        <v>105355.02270120647</v>
      </c>
      <c r="W40" s="49">
        <f t="shared" si="30"/>
        <v>0</v>
      </c>
      <c r="X40" s="49">
        <f t="shared" si="30"/>
        <v>0</v>
      </c>
      <c r="Y40" s="49">
        <f t="shared" si="30"/>
        <v>0</v>
      </c>
      <c r="Z40" s="49">
        <f t="shared" si="30"/>
        <v>0</v>
      </c>
    </row>
    <row r="41" spans="1:26" x14ac:dyDescent="0.2">
      <c r="A41" s="9" t="s">
        <v>5</v>
      </c>
      <c r="B41" s="4">
        <f>SUM(C41:Z41)</f>
        <v>-60154.182615458405</v>
      </c>
      <c r="C41" s="38">
        <f t="shared" ref="C41:Z41" si="31">C53</f>
        <v>0</v>
      </c>
      <c r="D41" s="38">
        <f t="shared" si="31"/>
        <v>0</v>
      </c>
      <c r="E41" s="38">
        <f t="shared" si="31"/>
        <v>0</v>
      </c>
      <c r="F41" s="38">
        <f t="shared" si="31"/>
        <v>0</v>
      </c>
      <c r="G41" s="38">
        <f t="shared" si="31"/>
        <v>0</v>
      </c>
      <c r="H41" s="38">
        <f t="shared" si="31"/>
        <v>0</v>
      </c>
      <c r="I41" s="38">
        <f t="shared" si="31"/>
        <v>0</v>
      </c>
      <c r="J41" s="38">
        <f t="shared" si="31"/>
        <v>0</v>
      </c>
      <c r="K41" s="38">
        <f t="shared" si="31"/>
        <v>0</v>
      </c>
      <c r="L41" s="38">
        <f t="shared" si="31"/>
        <v>0</v>
      </c>
      <c r="M41" s="38">
        <f t="shared" si="31"/>
        <v>0</v>
      </c>
      <c r="N41" s="38">
        <f t="shared" si="31"/>
        <v>0</v>
      </c>
      <c r="O41" s="38">
        <f>O53</f>
        <v>0</v>
      </c>
      <c r="P41" s="38">
        <f t="shared" si="31"/>
        <v>0</v>
      </c>
      <c r="Q41" s="38">
        <f t="shared" si="31"/>
        <v>0</v>
      </c>
      <c r="R41" s="38">
        <f t="shared" si="31"/>
        <v>0</v>
      </c>
      <c r="S41" s="38">
        <f t="shared" si="31"/>
        <v>0</v>
      </c>
      <c r="T41" s="38">
        <f t="shared" si="31"/>
        <v>-18070.5488206474</v>
      </c>
      <c r="U41" s="38">
        <f t="shared" si="31"/>
        <v>-20582.60875374846</v>
      </c>
      <c r="V41" s="38">
        <f t="shared" si="31"/>
        <v>-21501.025041062545</v>
      </c>
      <c r="W41" s="38">
        <f t="shared" si="31"/>
        <v>0</v>
      </c>
      <c r="X41" s="38">
        <f t="shared" si="31"/>
        <v>0</v>
      </c>
      <c r="Y41" s="38">
        <f t="shared" si="31"/>
        <v>0</v>
      </c>
      <c r="Z41" s="38">
        <f t="shared" si="31"/>
        <v>0</v>
      </c>
    </row>
    <row r="42" spans="1:26" s="44" customFormat="1" x14ac:dyDescent="0.2">
      <c r="A42" s="43" t="s">
        <v>29</v>
      </c>
      <c r="B42" s="49"/>
      <c r="C42" s="49">
        <f t="shared" ref="C42:Z42" si="32">C40+C41</f>
        <v>0</v>
      </c>
      <c r="D42" s="49">
        <f t="shared" si="32"/>
        <v>0</v>
      </c>
      <c r="E42" s="49">
        <f t="shared" si="32"/>
        <v>0</v>
      </c>
      <c r="F42" s="49">
        <f t="shared" si="32"/>
        <v>0</v>
      </c>
      <c r="G42" s="49">
        <f t="shared" si="32"/>
        <v>0</v>
      </c>
      <c r="H42" s="49">
        <f t="shared" si="32"/>
        <v>0</v>
      </c>
      <c r="I42" s="49">
        <f t="shared" si="32"/>
        <v>0</v>
      </c>
      <c r="J42" s="49">
        <f t="shared" si="32"/>
        <v>0</v>
      </c>
      <c r="K42" s="49">
        <f t="shared" si="32"/>
        <v>0</v>
      </c>
      <c r="L42" s="49">
        <f t="shared" si="32"/>
        <v>0</v>
      </c>
      <c r="M42" s="49">
        <f t="shared" si="32"/>
        <v>0</v>
      </c>
      <c r="N42" s="49">
        <f t="shared" si="32"/>
        <v>0</v>
      </c>
      <c r="O42" s="49">
        <f t="shared" si="32"/>
        <v>0</v>
      </c>
      <c r="P42" s="49">
        <f t="shared" si="32"/>
        <v>0</v>
      </c>
      <c r="Q42" s="49">
        <f t="shared" si="32"/>
        <v>0</v>
      </c>
      <c r="R42" s="49">
        <f t="shared" si="32"/>
        <v>0</v>
      </c>
      <c r="S42" s="49">
        <f t="shared" si="32"/>
        <v>0</v>
      </c>
      <c r="T42" s="49">
        <f t="shared" si="32"/>
        <v>82470.827034844304</v>
      </c>
      <c r="U42" s="49">
        <f t="shared" si="32"/>
        <v>66078.762747653876</v>
      </c>
      <c r="V42" s="49">
        <f t="shared" si="32"/>
        <v>83853.997660143927</v>
      </c>
      <c r="W42" s="49">
        <f t="shared" si="32"/>
        <v>0</v>
      </c>
      <c r="X42" s="49">
        <f t="shared" si="32"/>
        <v>0</v>
      </c>
      <c r="Y42" s="49">
        <f t="shared" si="32"/>
        <v>0</v>
      </c>
      <c r="Z42" s="49">
        <f t="shared" si="32"/>
        <v>0</v>
      </c>
    </row>
    <row r="43" spans="1:26" x14ac:dyDescent="0.2">
      <c r="A43" s="9" t="s">
        <v>30</v>
      </c>
      <c r="B43" s="4">
        <f>SUM(C43:Z43)</f>
        <v>-232403.58744264214</v>
      </c>
      <c r="C43" s="38">
        <f t="shared" ref="C43:U43" si="33">IF(C42&gt;0,-C42,0)</f>
        <v>0</v>
      </c>
      <c r="D43" s="38">
        <f t="shared" si="33"/>
        <v>0</v>
      </c>
      <c r="E43" s="38">
        <f t="shared" si="33"/>
        <v>0</v>
      </c>
      <c r="F43" s="38">
        <f t="shared" si="33"/>
        <v>0</v>
      </c>
      <c r="G43" s="38">
        <f t="shared" si="33"/>
        <v>0</v>
      </c>
      <c r="H43" s="38">
        <f t="shared" si="33"/>
        <v>0</v>
      </c>
      <c r="I43" s="38">
        <f t="shared" si="33"/>
        <v>0</v>
      </c>
      <c r="J43" s="38">
        <f t="shared" si="33"/>
        <v>0</v>
      </c>
      <c r="K43" s="38">
        <f t="shared" si="33"/>
        <v>0</v>
      </c>
      <c r="L43" s="38">
        <f t="shared" si="33"/>
        <v>0</v>
      </c>
      <c r="M43" s="38">
        <f t="shared" si="33"/>
        <v>0</v>
      </c>
      <c r="N43" s="38">
        <f t="shared" si="33"/>
        <v>0</v>
      </c>
      <c r="O43" s="38">
        <f t="shared" si="33"/>
        <v>0</v>
      </c>
      <c r="P43" s="38">
        <f t="shared" si="33"/>
        <v>0</v>
      </c>
      <c r="Q43" s="38">
        <f t="shared" si="33"/>
        <v>0</v>
      </c>
      <c r="R43" s="38">
        <f t="shared" si="33"/>
        <v>0</v>
      </c>
      <c r="S43" s="38">
        <f t="shared" si="33"/>
        <v>0</v>
      </c>
      <c r="T43" s="38">
        <f t="shared" si="33"/>
        <v>-82470.827034844304</v>
      </c>
      <c r="U43" s="38">
        <f t="shared" si="33"/>
        <v>-66078.762747653876</v>
      </c>
      <c r="V43" s="38">
        <f t="shared" ref="V43:Z43" si="34">IF(V42&gt;0,-V42,0)</f>
        <v>-83853.997660143927</v>
      </c>
      <c r="W43" s="38">
        <f t="shared" si="34"/>
        <v>0</v>
      </c>
      <c r="X43" s="38">
        <f t="shared" si="34"/>
        <v>0</v>
      </c>
      <c r="Y43" s="38">
        <f t="shared" si="34"/>
        <v>0</v>
      </c>
      <c r="Z43" s="38">
        <f t="shared" si="34"/>
        <v>0</v>
      </c>
    </row>
    <row r="44" spans="1:26" s="44" customFormat="1" x14ac:dyDescent="0.2">
      <c r="A44" s="43" t="s">
        <v>31</v>
      </c>
      <c r="B44" s="49"/>
      <c r="C44" s="49">
        <f t="shared" ref="C44:Z44" si="35">C42+C43</f>
        <v>0</v>
      </c>
      <c r="D44" s="49">
        <f t="shared" si="35"/>
        <v>0</v>
      </c>
      <c r="E44" s="49">
        <f t="shared" si="35"/>
        <v>0</v>
      </c>
      <c r="F44" s="49">
        <f t="shared" si="35"/>
        <v>0</v>
      </c>
      <c r="G44" s="49">
        <f t="shared" si="35"/>
        <v>0</v>
      </c>
      <c r="H44" s="49">
        <f t="shared" si="35"/>
        <v>0</v>
      </c>
      <c r="I44" s="49">
        <f t="shared" si="35"/>
        <v>0</v>
      </c>
      <c r="J44" s="49">
        <f t="shared" si="35"/>
        <v>0</v>
      </c>
      <c r="K44" s="49">
        <f t="shared" si="35"/>
        <v>0</v>
      </c>
      <c r="L44" s="49">
        <f t="shared" si="35"/>
        <v>0</v>
      </c>
      <c r="M44" s="49">
        <f t="shared" si="35"/>
        <v>0</v>
      </c>
      <c r="N44" s="49">
        <f t="shared" si="35"/>
        <v>0</v>
      </c>
      <c r="O44" s="49">
        <f t="shared" si="35"/>
        <v>0</v>
      </c>
      <c r="P44" s="49">
        <f t="shared" si="35"/>
        <v>0</v>
      </c>
      <c r="Q44" s="49">
        <f t="shared" si="35"/>
        <v>0</v>
      </c>
      <c r="R44" s="49">
        <f t="shared" si="35"/>
        <v>0</v>
      </c>
      <c r="S44" s="49">
        <f t="shared" si="35"/>
        <v>0</v>
      </c>
      <c r="T44" s="49">
        <f t="shared" si="35"/>
        <v>0</v>
      </c>
      <c r="U44" s="49">
        <f t="shared" si="35"/>
        <v>0</v>
      </c>
      <c r="V44" s="49">
        <f t="shared" si="35"/>
        <v>0</v>
      </c>
      <c r="W44" s="49">
        <f t="shared" si="35"/>
        <v>0</v>
      </c>
      <c r="X44" s="49">
        <f t="shared" si="35"/>
        <v>0</v>
      </c>
      <c r="Y44" s="49">
        <f t="shared" si="35"/>
        <v>0</v>
      </c>
      <c r="Z44" s="49">
        <f t="shared" si="35"/>
        <v>0</v>
      </c>
    </row>
    <row r="45" spans="1:26" s="18" customFormat="1" x14ac:dyDescent="0.2">
      <c r="A45" s="16" t="s">
        <v>32</v>
      </c>
      <c r="B45" s="4">
        <f>SUM(C45:Z45)</f>
        <v>232403.58744264214</v>
      </c>
      <c r="C45" s="38">
        <f t="shared" ref="C45:Z45" si="36">C16+C22+C41+C31+C32</f>
        <v>0</v>
      </c>
      <c r="D45" s="38">
        <f t="shared" si="36"/>
        <v>0</v>
      </c>
      <c r="E45" s="38">
        <f t="shared" si="36"/>
        <v>0</v>
      </c>
      <c r="F45" s="38">
        <f t="shared" si="36"/>
        <v>0</v>
      </c>
      <c r="G45" s="38">
        <f t="shared" si="36"/>
        <v>0</v>
      </c>
      <c r="H45" s="38">
        <f t="shared" si="36"/>
        <v>0</v>
      </c>
      <c r="I45" s="38">
        <f t="shared" si="36"/>
        <v>0</v>
      </c>
      <c r="J45" s="38">
        <f t="shared" si="36"/>
        <v>0</v>
      </c>
      <c r="K45" s="38">
        <f t="shared" si="36"/>
        <v>0</v>
      </c>
      <c r="L45" s="38">
        <f t="shared" si="36"/>
        <v>0</v>
      </c>
      <c r="M45" s="38">
        <f t="shared" si="36"/>
        <v>0</v>
      </c>
      <c r="N45" s="38">
        <f t="shared" si="36"/>
        <v>-116559.900488545</v>
      </c>
      <c r="O45" s="38">
        <f t="shared" si="36"/>
        <v>-112986.62404872081</v>
      </c>
      <c r="P45" s="38">
        <f t="shared" si="36"/>
        <v>-114669.56310826253</v>
      </c>
      <c r="Q45" s="38">
        <f t="shared" si="36"/>
        <v>-116368.88679710508</v>
      </c>
      <c r="R45" s="38">
        <f t="shared" si="36"/>
        <v>-118084.42673191924</v>
      </c>
      <c r="S45" s="38">
        <f t="shared" si="36"/>
        <v>576988.70389804489</v>
      </c>
      <c r="T45" s="38">
        <f t="shared" si="36"/>
        <v>84151.524311352157</v>
      </c>
      <c r="U45" s="38">
        <f t="shared" si="36"/>
        <v>66078.762747653876</v>
      </c>
      <c r="V45" s="38">
        <f t="shared" si="36"/>
        <v>83853.997660143927</v>
      </c>
      <c r="W45" s="38">
        <f t="shared" si="36"/>
        <v>0</v>
      </c>
      <c r="X45" s="38">
        <f t="shared" si="36"/>
        <v>0</v>
      </c>
      <c r="Y45" s="38">
        <f t="shared" si="36"/>
        <v>0</v>
      </c>
      <c r="Z45" s="38">
        <f t="shared" si="36"/>
        <v>0</v>
      </c>
    </row>
    <row r="46" spans="1:26" x14ac:dyDescent="0.2">
      <c r="A46" s="15" t="s">
        <v>50</v>
      </c>
      <c r="B46" s="19">
        <f>IFERROR(IRR(C45:Z45)*4,0)</f>
        <v>0.39168111767054015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x14ac:dyDescent="0.2">
      <c r="A47" s="21"/>
      <c r="B47" s="56"/>
      <c r="C47" s="56"/>
      <c r="D47" s="56"/>
      <c r="E47" s="56"/>
      <c r="F47" s="56"/>
      <c r="G47" s="57"/>
      <c r="H47" s="57"/>
      <c r="I47" s="57"/>
      <c r="J47" s="58"/>
      <c r="K47" s="58"/>
      <c r="L47" s="58"/>
      <c r="M47" s="58"/>
      <c r="N47" s="58"/>
      <c r="O47" s="58"/>
      <c r="P47" s="58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x14ac:dyDescent="0.2">
      <c r="A48" s="9" t="s">
        <v>51</v>
      </c>
      <c r="B48" s="4">
        <f>SUM(C48:Z48)</f>
        <v>905226.17874044925</v>
      </c>
      <c r="C48" s="38">
        <f t="shared" ref="C48:Z48" si="37">C17+C18</f>
        <v>0</v>
      </c>
      <c r="D48" s="38">
        <f t="shared" si="37"/>
        <v>0</v>
      </c>
      <c r="E48" s="38">
        <f t="shared" si="37"/>
        <v>0</v>
      </c>
      <c r="F48" s="38">
        <f t="shared" si="37"/>
        <v>0</v>
      </c>
      <c r="G48" s="38">
        <f t="shared" si="37"/>
        <v>0</v>
      </c>
      <c r="H48" s="38">
        <f t="shared" si="37"/>
        <v>0</v>
      </c>
      <c r="I48" s="38">
        <f t="shared" si="37"/>
        <v>0</v>
      </c>
      <c r="J48" s="38">
        <f t="shared" si="37"/>
        <v>0</v>
      </c>
      <c r="K48" s="38">
        <f t="shared" si="37"/>
        <v>0</v>
      </c>
      <c r="L48" s="38">
        <f t="shared" si="37"/>
        <v>0</v>
      </c>
      <c r="M48" s="38">
        <f t="shared" si="37"/>
        <v>0</v>
      </c>
      <c r="N48" s="38">
        <f t="shared" si="37"/>
        <v>92664.147281705838</v>
      </c>
      <c r="O48" s="38">
        <f t="shared" si="37"/>
        <v>94749.090595544229</v>
      </c>
      <c r="P48" s="38">
        <f t="shared" si="37"/>
        <v>96880.945133943969</v>
      </c>
      <c r="Q48" s="38">
        <f t="shared" si="37"/>
        <v>99060.766399457716</v>
      </c>
      <c r="R48" s="38">
        <f t="shared" si="37"/>
        <v>101289.63364344552</v>
      </c>
      <c r="S48" s="38">
        <f t="shared" si="37"/>
        <v>102808.97814809719</v>
      </c>
      <c r="T48" s="38">
        <f t="shared" si="37"/>
        <v>104351.11282031862</v>
      </c>
      <c r="U48" s="38">
        <f t="shared" si="37"/>
        <v>105916.37951262339</v>
      </c>
      <c r="V48" s="38">
        <f t="shared" si="37"/>
        <v>107505.12520531272</v>
      </c>
      <c r="W48" s="38">
        <f t="shared" si="37"/>
        <v>0</v>
      </c>
      <c r="X48" s="38">
        <f t="shared" si="37"/>
        <v>0</v>
      </c>
      <c r="Y48" s="38">
        <f t="shared" si="37"/>
        <v>0</v>
      </c>
      <c r="Z48" s="38">
        <f t="shared" si="37"/>
        <v>0</v>
      </c>
    </row>
    <row r="49" spans="1:26" x14ac:dyDescent="0.2">
      <c r="A49" s="9" t="s">
        <v>6</v>
      </c>
      <c r="B49" s="4">
        <f>SUM(C49:Z49)</f>
        <v>-604455.2656631571</v>
      </c>
      <c r="C49" s="38">
        <f t="shared" ref="C49:V49" si="38">C23+C25+C27+C28+C29</f>
        <v>0</v>
      </c>
      <c r="D49" s="38">
        <f t="shared" si="38"/>
        <v>0</v>
      </c>
      <c r="E49" s="38">
        <f t="shared" si="38"/>
        <v>0</v>
      </c>
      <c r="F49" s="38">
        <f t="shared" si="38"/>
        <v>0</v>
      </c>
      <c r="G49" s="38">
        <f t="shared" si="38"/>
        <v>0</v>
      </c>
      <c r="H49" s="38">
        <f t="shared" si="38"/>
        <v>0</v>
      </c>
      <c r="I49" s="38">
        <f t="shared" si="38"/>
        <v>0</v>
      </c>
      <c r="J49" s="38">
        <f t="shared" si="38"/>
        <v>0</v>
      </c>
      <c r="K49" s="38">
        <f t="shared" si="38"/>
        <v>0</v>
      </c>
      <c r="L49" s="38">
        <f t="shared" si="38"/>
        <v>-14133.3446770875</v>
      </c>
      <c r="M49" s="38">
        <f t="shared" si="38"/>
        <v>-14133.3446770875</v>
      </c>
      <c r="N49" s="38">
        <f t="shared" si="38"/>
        <v>-113858.2247186169</v>
      </c>
      <c r="O49" s="38">
        <f t="shared" si="38"/>
        <v>-110243.24941251594</v>
      </c>
      <c r="P49" s="38">
        <f t="shared" si="38"/>
        <v>-111883.55138128967</v>
      </c>
      <c r="Q49" s="38">
        <f t="shared" si="38"/>
        <v>-113539.27864482193</v>
      </c>
      <c r="R49" s="38">
        <f t="shared" si="38"/>
        <v>-115210.24123475634</v>
      </c>
      <c r="S49" s="38">
        <f t="shared" si="38"/>
        <v>-8408.6777411876028</v>
      </c>
      <c r="T49" s="38">
        <f t="shared" si="38"/>
        <v>-42.017431912696338</v>
      </c>
      <c r="U49" s="38">
        <f t="shared" si="38"/>
        <v>-3003.335743881094</v>
      </c>
      <c r="V49" s="38">
        <f t="shared" si="38"/>
        <v>0</v>
      </c>
      <c r="W49" s="38">
        <f>W23+W25+W27</f>
        <v>0</v>
      </c>
      <c r="X49" s="38">
        <f>X23+X25+X27</f>
        <v>0</v>
      </c>
      <c r="Y49" s="38">
        <f>Y23+Y25+Y27</f>
        <v>0</v>
      </c>
      <c r="Z49" s="38">
        <f>Z23+Z25+Z27</f>
        <v>0</v>
      </c>
    </row>
    <row r="50" spans="1:26" x14ac:dyDescent="0.2">
      <c r="A50" s="9" t="s">
        <v>7</v>
      </c>
      <c r="B50" s="4">
        <f>SUM(C50:Z50)</f>
        <v>300770.91307729203</v>
      </c>
      <c r="C50" s="38">
        <f t="shared" ref="C50:Z50" si="39">C48+C49</f>
        <v>0</v>
      </c>
      <c r="D50" s="38">
        <f t="shared" si="39"/>
        <v>0</v>
      </c>
      <c r="E50" s="38">
        <f t="shared" si="39"/>
        <v>0</v>
      </c>
      <c r="F50" s="38">
        <f t="shared" si="39"/>
        <v>0</v>
      </c>
      <c r="G50" s="38">
        <f t="shared" si="39"/>
        <v>0</v>
      </c>
      <c r="H50" s="38">
        <f t="shared" si="39"/>
        <v>0</v>
      </c>
      <c r="I50" s="38">
        <f t="shared" si="39"/>
        <v>0</v>
      </c>
      <c r="J50" s="38">
        <f t="shared" si="39"/>
        <v>0</v>
      </c>
      <c r="K50" s="38">
        <f t="shared" si="39"/>
        <v>0</v>
      </c>
      <c r="L50" s="38">
        <f t="shared" si="39"/>
        <v>-14133.3446770875</v>
      </c>
      <c r="M50" s="38">
        <f t="shared" si="39"/>
        <v>-14133.3446770875</v>
      </c>
      <c r="N50" s="38">
        <f t="shared" si="39"/>
        <v>-21194.077436911059</v>
      </c>
      <c r="O50" s="38">
        <f t="shared" si="39"/>
        <v>-15494.158816971714</v>
      </c>
      <c r="P50" s="38">
        <f t="shared" si="39"/>
        <v>-15002.606247345699</v>
      </c>
      <c r="Q50" s="38">
        <f t="shared" si="39"/>
        <v>-14478.512245364211</v>
      </c>
      <c r="R50" s="38">
        <f t="shared" si="39"/>
        <v>-13920.607591310822</v>
      </c>
      <c r="S50" s="38">
        <f t="shared" si="39"/>
        <v>94400.300406909577</v>
      </c>
      <c r="T50" s="38">
        <f t="shared" si="39"/>
        <v>104309.09538840593</v>
      </c>
      <c r="U50" s="38">
        <f t="shared" si="39"/>
        <v>102913.0437687423</v>
      </c>
      <c r="V50" s="38">
        <f t="shared" si="39"/>
        <v>107505.12520531272</v>
      </c>
      <c r="W50" s="38">
        <f t="shared" si="39"/>
        <v>0</v>
      </c>
      <c r="X50" s="38">
        <f t="shared" si="39"/>
        <v>0</v>
      </c>
      <c r="Y50" s="38">
        <f t="shared" si="39"/>
        <v>0</v>
      </c>
      <c r="Z50" s="38">
        <f t="shared" si="39"/>
        <v>0</v>
      </c>
    </row>
    <row r="51" spans="1:26" x14ac:dyDescent="0.2">
      <c r="A51" s="9" t="s">
        <v>8</v>
      </c>
      <c r="B51" s="4"/>
      <c r="C51" s="38">
        <f t="shared" ref="C51:Z51" si="40">B51+C50</f>
        <v>0</v>
      </c>
      <c r="D51" s="38">
        <f t="shared" si="40"/>
        <v>0</v>
      </c>
      <c r="E51" s="38">
        <f t="shared" si="40"/>
        <v>0</v>
      </c>
      <c r="F51" s="38">
        <f t="shared" si="40"/>
        <v>0</v>
      </c>
      <c r="G51" s="38">
        <f t="shared" si="40"/>
        <v>0</v>
      </c>
      <c r="H51" s="38">
        <f t="shared" si="40"/>
        <v>0</v>
      </c>
      <c r="I51" s="38">
        <f t="shared" si="40"/>
        <v>0</v>
      </c>
      <c r="J51" s="38">
        <f t="shared" si="40"/>
        <v>0</v>
      </c>
      <c r="K51" s="38">
        <f t="shared" si="40"/>
        <v>0</v>
      </c>
      <c r="L51" s="38">
        <f t="shared" si="40"/>
        <v>-14133.3446770875</v>
      </c>
      <c r="M51" s="38">
        <f t="shared" si="40"/>
        <v>-28266.689354175</v>
      </c>
      <c r="N51" s="38">
        <f t="shared" si="40"/>
        <v>-49460.766791086062</v>
      </c>
      <c r="O51" s="38">
        <f t="shared" si="40"/>
        <v>-64954.925608057776</v>
      </c>
      <c r="P51" s="38">
        <f t="shared" si="40"/>
        <v>-79957.531855403475</v>
      </c>
      <c r="Q51" s="38">
        <f t="shared" si="40"/>
        <v>-94436.044100767685</v>
      </c>
      <c r="R51" s="38">
        <f t="shared" si="40"/>
        <v>-108356.65169207851</v>
      </c>
      <c r="S51" s="38">
        <f t="shared" si="40"/>
        <v>-13956.35128516893</v>
      </c>
      <c r="T51" s="38">
        <f t="shared" si="40"/>
        <v>90352.744103236997</v>
      </c>
      <c r="U51" s="38">
        <f t="shared" si="40"/>
        <v>193265.78787197929</v>
      </c>
      <c r="V51" s="38">
        <f t="shared" si="40"/>
        <v>300770.91307729203</v>
      </c>
      <c r="W51" s="38">
        <f t="shared" si="40"/>
        <v>300770.91307729203</v>
      </c>
      <c r="X51" s="38">
        <f t="shared" si="40"/>
        <v>300770.91307729203</v>
      </c>
      <c r="Y51" s="38">
        <f t="shared" si="40"/>
        <v>300770.91307729203</v>
      </c>
      <c r="Z51" s="38">
        <f t="shared" si="40"/>
        <v>300770.91307729203</v>
      </c>
    </row>
    <row r="52" spans="1:26" x14ac:dyDescent="0.2">
      <c r="A52" s="9" t="s">
        <v>9</v>
      </c>
      <c r="B52" s="4">
        <f>SUM(C52:Z52)</f>
        <v>300770.91307729203</v>
      </c>
      <c r="C52" s="38">
        <f t="shared" ref="C52:Z52" si="41">MAX(MIN(C51,C50),0)</f>
        <v>0</v>
      </c>
      <c r="D52" s="38">
        <f t="shared" si="41"/>
        <v>0</v>
      </c>
      <c r="E52" s="38">
        <f t="shared" si="41"/>
        <v>0</v>
      </c>
      <c r="F52" s="38">
        <f t="shared" si="41"/>
        <v>0</v>
      </c>
      <c r="G52" s="38">
        <f t="shared" si="41"/>
        <v>0</v>
      </c>
      <c r="H52" s="38">
        <f t="shared" si="41"/>
        <v>0</v>
      </c>
      <c r="I52" s="38">
        <f t="shared" si="41"/>
        <v>0</v>
      </c>
      <c r="J52" s="38">
        <f t="shared" si="41"/>
        <v>0</v>
      </c>
      <c r="K52" s="38">
        <f t="shared" si="41"/>
        <v>0</v>
      </c>
      <c r="L52" s="38">
        <f t="shared" si="41"/>
        <v>0</v>
      </c>
      <c r="M52" s="38">
        <f t="shared" si="41"/>
        <v>0</v>
      </c>
      <c r="N52" s="38">
        <f t="shared" si="41"/>
        <v>0</v>
      </c>
      <c r="O52" s="38">
        <f t="shared" si="41"/>
        <v>0</v>
      </c>
      <c r="P52" s="38">
        <f t="shared" si="41"/>
        <v>0</v>
      </c>
      <c r="Q52" s="38">
        <f t="shared" si="41"/>
        <v>0</v>
      </c>
      <c r="R52" s="38">
        <f t="shared" si="41"/>
        <v>0</v>
      </c>
      <c r="S52" s="38">
        <f t="shared" si="41"/>
        <v>0</v>
      </c>
      <c r="T52" s="38">
        <f t="shared" si="41"/>
        <v>90352.744103236997</v>
      </c>
      <c r="U52" s="38">
        <f t="shared" si="41"/>
        <v>102913.0437687423</v>
      </c>
      <c r="V52" s="38">
        <f t="shared" si="41"/>
        <v>107505.12520531272</v>
      </c>
      <c r="W52" s="38">
        <f t="shared" si="41"/>
        <v>0</v>
      </c>
      <c r="X52" s="38">
        <f t="shared" si="41"/>
        <v>0</v>
      </c>
      <c r="Y52" s="38">
        <f t="shared" si="41"/>
        <v>0</v>
      </c>
      <c r="Z52" s="38">
        <f t="shared" si="41"/>
        <v>0</v>
      </c>
    </row>
    <row r="53" spans="1:26" x14ac:dyDescent="0.2">
      <c r="A53" s="9" t="s">
        <v>10</v>
      </c>
      <c r="B53" s="4">
        <f>SUM(C53:Z53)</f>
        <v>-60154.182615458405</v>
      </c>
      <c r="C53" s="38">
        <f t="shared" ref="C53:Q53" si="42">-C52*0.2</f>
        <v>0</v>
      </c>
      <c r="D53" s="38">
        <f t="shared" si="42"/>
        <v>0</v>
      </c>
      <c r="E53" s="38">
        <f t="shared" si="42"/>
        <v>0</v>
      </c>
      <c r="F53" s="38">
        <f t="shared" si="42"/>
        <v>0</v>
      </c>
      <c r="G53" s="38">
        <f t="shared" si="42"/>
        <v>0</v>
      </c>
      <c r="H53" s="38">
        <f t="shared" si="42"/>
        <v>0</v>
      </c>
      <c r="I53" s="38">
        <f t="shared" si="42"/>
        <v>0</v>
      </c>
      <c r="J53" s="38">
        <f t="shared" si="42"/>
        <v>0</v>
      </c>
      <c r="K53" s="38">
        <f t="shared" si="42"/>
        <v>0</v>
      </c>
      <c r="L53" s="38">
        <f t="shared" si="42"/>
        <v>0</v>
      </c>
      <c r="M53" s="38">
        <f t="shared" si="42"/>
        <v>0</v>
      </c>
      <c r="N53" s="38">
        <f t="shared" si="42"/>
        <v>0</v>
      </c>
      <c r="O53" s="38">
        <f>-O52*0.2</f>
        <v>0</v>
      </c>
      <c r="P53" s="38">
        <f t="shared" si="42"/>
        <v>0</v>
      </c>
      <c r="Q53" s="38">
        <f t="shared" si="42"/>
        <v>0</v>
      </c>
      <c r="R53" s="38">
        <f>-R52*0.2</f>
        <v>0</v>
      </c>
      <c r="S53" s="38">
        <f t="shared" ref="S53:Z53" si="43">-S52*0.2</f>
        <v>0</v>
      </c>
      <c r="T53" s="38">
        <f t="shared" si="43"/>
        <v>-18070.5488206474</v>
      </c>
      <c r="U53" s="38">
        <f t="shared" si="43"/>
        <v>-20582.60875374846</v>
      </c>
      <c r="V53" s="38">
        <f t="shared" si="43"/>
        <v>-21501.025041062545</v>
      </c>
      <c r="W53" s="38">
        <f t="shared" si="43"/>
        <v>0</v>
      </c>
      <c r="X53" s="38">
        <f t="shared" si="43"/>
        <v>0</v>
      </c>
      <c r="Y53" s="38">
        <f t="shared" si="43"/>
        <v>0</v>
      </c>
      <c r="Z53" s="38">
        <f t="shared" si="43"/>
        <v>0</v>
      </c>
    </row>
    <row r="54" spans="1:26" x14ac:dyDescent="0.2">
      <c r="A54" s="9" t="s">
        <v>11</v>
      </c>
      <c r="B54" s="4">
        <f>SUM(C54:Z54)</f>
        <v>240616.73046183362</v>
      </c>
      <c r="C54" s="38">
        <f t="shared" ref="C54:Z54" si="44">C50+C53</f>
        <v>0</v>
      </c>
      <c r="D54" s="38">
        <f t="shared" si="44"/>
        <v>0</v>
      </c>
      <c r="E54" s="38">
        <f t="shared" si="44"/>
        <v>0</v>
      </c>
      <c r="F54" s="38">
        <f t="shared" si="44"/>
        <v>0</v>
      </c>
      <c r="G54" s="38">
        <f t="shared" si="44"/>
        <v>0</v>
      </c>
      <c r="H54" s="38">
        <f t="shared" si="44"/>
        <v>0</v>
      </c>
      <c r="I54" s="38">
        <f t="shared" si="44"/>
        <v>0</v>
      </c>
      <c r="J54" s="38">
        <f t="shared" si="44"/>
        <v>0</v>
      </c>
      <c r="K54" s="38">
        <f t="shared" si="44"/>
        <v>0</v>
      </c>
      <c r="L54" s="38">
        <f t="shared" si="44"/>
        <v>-14133.3446770875</v>
      </c>
      <c r="M54" s="38">
        <f t="shared" si="44"/>
        <v>-14133.3446770875</v>
      </c>
      <c r="N54" s="38">
        <f t="shared" si="44"/>
        <v>-21194.077436911059</v>
      </c>
      <c r="O54" s="38">
        <f t="shared" si="44"/>
        <v>-15494.158816971714</v>
      </c>
      <c r="P54" s="38">
        <f t="shared" si="44"/>
        <v>-15002.606247345699</v>
      </c>
      <c r="Q54" s="38">
        <f t="shared" si="44"/>
        <v>-14478.512245364211</v>
      </c>
      <c r="R54" s="38">
        <f t="shared" si="44"/>
        <v>-13920.607591310822</v>
      </c>
      <c r="S54" s="38">
        <f t="shared" si="44"/>
        <v>94400.300406909577</v>
      </c>
      <c r="T54" s="38">
        <f t="shared" si="44"/>
        <v>86238.546567758531</v>
      </c>
      <c r="U54" s="38">
        <f t="shared" si="44"/>
        <v>82330.43501499384</v>
      </c>
      <c r="V54" s="38">
        <f t="shared" si="44"/>
        <v>86004.10016425018</v>
      </c>
      <c r="W54" s="38">
        <f t="shared" si="44"/>
        <v>0</v>
      </c>
      <c r="X54" s="38">
        <f t="shared" si="44"/>
        <v>0</v>
      </c>
      <c r="Y54" s="38">
        <f t="shared" si="44"/>
        <v>0</v>
      </c>
      <c r="Z54" s="38">
        <f t="shared" si="44"/>
        <v>0</v>
      </c>
    </row>
    <row r="55" spans="1:26" x14ac:dyDescent="0.2">
      <c r="A55" s="9" t="s">
        <v>8</v>
      </c>
      <c r="B55" s="4"/>
      <c r="C55" s="38">
        <f t="shared" ref="C55:Z55" si="45">B55+C54</f>
        <v>0</v>
      </c>
      <c r="D55" s="38">
        <f t="shared" si="45"/>
        <v>0</v>
      </c>
      <c r="E55" s="38">
        <f t="shared" si="45"/>
        <v>0</v>
      </c>
      <c r="F55" s="38">
        <f t="shared" si="45"/>
        <v>0</v>
      </c>
      <c r="G55" s="38">
        <f t="shared" si="45"/>
        <v>0</v>
      </c>
      <c r="H55" s="38">
        <f t="shared" si="45"/>
        <v>0</v>
      </c>
      <c r="I55" s="38">
        <f t="shared" si="45"/>
        <v>0</v>
      </c>
      <c r="J55" s="38">
        <f t="shared" si="45"/>
        <v>0</v>
      </c>
      <c r="K55" s="38">
        <f t="shared" si="45"/>
        <v>0</v>
      </c>
      <c r="L55" s="38">
        <f t="shared" si="45"/>
        <v>-14133.3446770875</v>
      </c>
      <c r="M55" s="38">
        <f t="shared" si="45"/>
        <v>-28266.689354175</v>
      </c>
      <c r="N55" s="38">
        <f t="shared" si="45"/>
        <v>-49460.766791086062</v>
      </c>
      <c r="O55" s="38">
        <f t="shared" si="45"/>
        <v>-64954.925608057776</v>
      </c>
      <c r="P55" s="38">
        <f t="shared" si="45"/>
        <v>-79957.531855403475</v>
      </c>
      <c r="Q55" s="38">
        <f t="shared" si="45"/>
        <v>-94436.044100767685</v>
      </c>
      <c r="R55" s="38">
        <f t="shared" si="45"/>
        <v>-108356.65169207851</v>
      </c>
      <c r="S55" s="38">
        <f t="shared" si="45"/>
        <v>-13956.35128516893</v>
      </c>
      <c r="T55" s="38">
        <f t="shared" si="45"/>
        <v>72282.195282589601</v>
      </c>
      <c r="U55" s="38">
        <f t="shared" si="45"/>
        <v>154612.63029758344</v>
      </c>
      <c r="V55" s="38">
        <f t="shared" si="45"/>
        <v>240616.73046183362</v>
      </c>
      <c r="W55" s="38">
        <f t="shared" si="45"/>
        <v>240616.73046183362</v>
      </c>
      <c r="X55" s="38">
        <f t="shared" si="45"/>
        <v>240616.73046183362</v>
      </c>
      <c r="Y55" s="38">
        <f t="shared" si="45"/>
        <v>240616.73046183362</v>
      </c>
      <c r="Z55" s="38">
        <f t="shared" si="45"/>
        <v>240616.73046183362</v>
      </c>
    </row>
    <row r="56" spans="1:26" x14ac:dyDescent="0.2">
      <c r="A56" s="21"/>
      <c r="B56" s="22">
        <f>IFERROR(B53/B52,0)</f>
        <v>-0.19999999999999998</v>
      </c>
      <c r="C56" s="22"/>
      <c r="D56" s="22"/>
      <c r="E56" s="22"/>
      <c r="F56" s="22"/>
      <c r="G56" s="23"/>
      <c r="H56" s="23"/>
      <c r="I56" s="23"/>
      <c r="J56" s="24"/>
      <c r="K56" s="24"/>
      <c r="L56" s="24"/>
      <c r="M56" s="24"/>
      <c r="N56" s="24"/>
      <c r="O56" s="24"/>
      <c r="P56" s="24"/>
    </row>
    <row r="57" spans="1:26" hidden="1" x14ac:dyDescent="0.2"/>
    <row r="58" spans="1:26" hidden="1" x14ac:dyDescent="0.2"/>
    <row r="59" spans="1:26" x14ac:dyDescent="0.2"/>
    <row r="60" spans="1:26" x14ac:dyDescent="0.2"/>
  </sheetData>
  <mergeCells count="6">
    <mergeCell ref="W10:Z10"/>
    <mergeCell ref="C10:F10"/>
    <mergeCell ref="G10:J10"/>
    <mergeCell ref="K10:N10"/>
    <mergeCell ref="O10:R10"/>
    <mergeCell ref="S10:V10"/>
  </mergeCells>
  <conditionalFormatting sqref="B33:Z33">
    <cfRule type="cellIs" dxfId="322" priority="58" operator="equal">
      <formula>0</formula>
    </cfRule>
  </conditionalFormatting>
  <conditionalFormatting sqref="W23:Z23">
    <cfRule type="cellIs" dxfId="321" priority="57" operator="equal">
      <formula>0</formula>
    </cfRule>
  </conditionalFormatting>
  <conditionalFormatting sqref="W25:Z25">
    <cfRule type="cellIs" dxfId="320" priority="56" operator="equal">
      <formula>0</formula>
    </cfRule>
  </conditionalFormatting>
  <conditionalFormatting sqref="W26:Z26">
    <cfRule type="cellIs" dxfId="319" priority="55" operator="equal">
      <formula>0</formula>
    </cfRule>
  </conditionalFormatting>
  <conditionalFormatting sqref="B31:Z31">
    <cfRule type="cellIs" dxfId="318" priority="69" operator="equal">
      <formula>0</formula>
    </cfRule>
  </conditionalFormatting>
  <conditionalFormatting sqref="B32:Z32">
    <cfRule type="cellIs" dxfId="317" priority="68" operator="equal">
      <formula>0</formula>
    </cfRule>
  </conditionalFormatting>
  <conditionalFormatting sqref="B35:Z35">
    <cfRule type="cellIs" dxfId="316" priority="67" operator="equal">
      <formula>0</formula>
    </cfRule>
  </conditionalFormatting>
  <conditionalFormatting sqref="B36:Z36">
    <cfRule type="cellIs" dxfId="315" priority="66" operator="equal">
      <formula>0</formula>
    </cfRule>
  </conditionalFormatting>
  <conditionalFormatting sqref="B37:Z37">
    <cfRule type="cellIs" dxfId="314" priority="65" operator="equal">
      <formula>0</formula>
    </cfRule>
  </conditionalFormatting>
  <conditionalFormatting sqref="B38:Z38 W39:Z39">
    <cfRule type="cellIs" dxfId="313" priority="64" operator="equal">
      <formula>0</formula>
    </cfRule>
  </conditionalFormatting>
  <conditionalFormatting sqref="B41:Z41">
    <cfRule type="cellIs" dxfId="312" priority="63" operator="equal">
      <formula>0</formula>
    </cfRule>
  </conditionalFormatting>
  <conditionalFormatting sqref="B43:Z43">
    <cfRule type="cellIs" dxfId="311" priority="62" operator="equal">
      <formula>0</formula>
    </cfRule>
  </conditionalFormatting>
  <conditionalFormatting sqref="B45:Z45">
    <cfRule type="cellIs" dxfId="310" priority="61" operator="equal">
      <formula>0</formula>
    </cfRule>
  </conditionalFormatting>
  <conditionalFormatting sqref="C46:Z46">
    <cfRule type="cellIs" dxfId="309" priority="60" operator="equal">
      <formula>0</formula>
    </cfRule>
  </conditionalFormatting>
  <conditionalFormatting sqref="C48:Z48 C50:Z55 W49:Z49">
    <cfRule type="cellIs" dxfId="308" priority="59" operator="equal">
      <formula>0</formula>
    </cfRule>
  </conditionalFormatting>
  <conditionalFormatting sqref="B17:Z17 B19:Z21 B18:F18">
    <cfRule type="cellIs" dxfId="307" priority="74" operator="equal">
      <formula>0</formula>
    </cfRule>
  </conditionalFormatting>
  <conditionalFormatting sqref="W27:Z29">
    <cfRule type="cellIs" dxfId="306" priority="54" operator="equal">
      <formula>0</formula>
    </cfRule>
  </conditionalFormatting>
  <conditionalFormatting sqref="C18:Z18">
    <cfRule type="cellIs" dxfId="305" priority="53" operator="equal">
      <formula>0</formula>
    </cfRule>
  </conditionalFormatting>
  <conditionalFormatting sqref="B39:V39">
    <cfRule type="cellIs" dxfId="304" priority="52" operator="equal">
      <formula>0</formula>
    </cfRule>
  </conditionalFormatting>
  <conditionalFormatting sqref="B23:F23">
    <cfRule type="cellIs" dxfId="303" priority="51" operator="equal">
      <formula>0</formula>
    </cfRule>
  </conditionalFormatting>
  <conditionalFormatting sqref="B25:F25">
    <cfRule type="cellIs" dxfId="302" priority="50" operator="equal">
      <formula>0</formula>
    </cfRule>
  </conditionalFormatting>
  <conditionalFormatting sqref="B26:F26">
    <cfRule type="cellIs" dxfId="301" priority="49" operator="equal">
      <formula>0</formula>
    </cfRule>
  </conditionalFormatting>
  <conditionalFormatting sqref="B27:F27 B28:C28 B29">
    <cfRule type="cellIs" dxfId="300" priority="48" operator="equal">
      <formula>0</formula>
    </cfRule>
  </conditionalFormatting>
  <conditionalFormatting sqref="G23:V23">
    <cfRule type="cellIs" dxfId="299" priority="47" operator="equal">
      <formula>0</formula>
    </cfRule>
  </conditionalFormatting>
  <conditionalFormatting sqref="C25:V25">
    <cfRule type="cellIs" dxfId="298" priority="46" operator="equal">
      <formula>0</formula>
    </cfRule>
  </conditionalFormatting>
  <conditionalFormatting sqref="G26:V26">
    <cfRule type="cellIs" dxfId="297" priority="45" operator="equal">
      <formula>0</formula>
    </cfRule>
  </conditionalFormatting>
  <conditionalFormatting sqref="G27:V27 D28:V29">
    <cfRule type="cellIs" dxfId="296" priority="44" operator="equal">
      <formula>0</formula>
    </cfRule>
  </conditionalFormatting>
  <conditionalFormatting sqref="C29">
    <cfRule type="cellIs" dxfId="295" priority="40" operator="equal">
      <formula>0</formula>
    </cfRule>
  </conditionalFormatting>
  <conditionalFormatting sqref="F29">
    <cfRule type="cellIs" dxfId="294" priority="43" operator="equal">
      <formula>0</formula>
    </cfRule>
  </conditionalFormatting>
  <conditionalFormatting sqref="E29">
    <cfRule type="cellIs" dxfId="293" priority="42" operator="equal">
      <formula>0</formula>
    </cfRule>
  </conditionalFormatting>
  <conditionalFormatting sqref="D29">
    <cfRule type="cellIs" dxfId="292" priority="41" operator="equal">
      <formula>0</formula>
    </cfRule>
  </conditionalFormatting>
  <conditionalFormatting sqref="D28">
    <cfRule type="cellIs" dxfId="291" priority="37" operator="equal">
      <formula>0</formula>
    </cfRule>
  </conditionalFormatting>
  <conditionalFormatting sqref="F28">
    <cfRule type="cellIs" dxfId="290" priority="39" operator="equal">
      <formula>0</formula>
    </cfRule>
  </conditionalFormatting>
  <conditionalFormatting sqref="E28">
    <cfRule type="cellIs" dxfId="289" priority="38" operator="equal">
      <formula>0</formula>
    </cfRule>
  </conditionalFormatting>
  <conditionalFormatting sqref="C49:V49">
    <cfRule type="cellIs" dxfId="288" priority="36" operator="equal">
      <formula>0</formula>
    </cfRule>
  </conditionalFormatting>
  <conditionalFormatting sqref="B24">
    <cfRule type="cellIs" dxfId="287" priority="35" operator="equal">
      <formula>0</formula>
    </cfRule>
  </conditionalFormatting>
  <conditionalFormatting sqref="B48 B50:B55">
    <cfRule type="cellIs" dxfId="286" priority="19" operator="equal">
      <formula>0</formula>
    </cfRule>
  </conditionalFormatting>
  <conditionalFormatting sqref="B49">
    <cfRule type="cellIs" dxfId="285" priority="18" operator="equal">
      <formula>0</formula>
    </cfRule>
  </conditionalFormatting>
  <conditionalFormatting sqref="W24:Z24">
    <cfRule type="cellIs" dxfId="284" priority="32" operator="equal">
      <formula>0</formula>
    </cfRule>
  </conditionalFormatting>
  <conditionalFormatting sqref="S24:V24">
    <cfRule type="cellIs" dxfId="283" priority="15" operator="equal">
      <formula>0</formula>
    </cfRule>
  </conditionalFormatting>
  <conditionalFormatting sqref="W24:Z24">
    <cfRule type="cellIs" dxfId="282" priority="30" operator="equal">
      <formula>0</formula>
    </cfRule>
  </conditionalFormatting>
  <conditionalFormatting sqref="W24:Z24">
    <cfRule type="cellIs" dxfId="281" priority="29" operator="equal">
      <formula>0</formula>
    </cfRule>
  </conditionalFormatting>
  <conditionalFormatting sqref="W24:Z24">
    <cfRule type="cellIs" dxfId="280" priority="28" operator="equal">
      <formula>0</formula>
    </cfRule>
  </conditionalFormatting>
  <conditionalFormatting sqref="C24:V24">
    <cfRule type="cellIs" dxfId="279" priority="11" operator="equal">
      <formula>0</formula>
    </cfRule>
  </conditionalFormatting>
  <conditionalFormatting sqref="C24:V24">
    <cfRule type="cellIs" dxfId="278" priority="10" operator="equal">
      <formula>0</formula>
    </cfRule>
  </conditionalFormatting>
  <conditionalFormatting sqref="C24:V24">
    <cfRule type="cellIs" dxfId="277" priority="9" operator="equal">
      <formula>0</formula>
    </cfRule>
  </conditionalFormatting>
  <conditionalFormatting sqref="G24">
    <cfRule type="cellIs" dxfId="276" priority="8" operator="equal">
      <formula>0</formula>
    </cfRule>
  </conditionalFormatting>
  <conditionalFormatting sqref="H24">
    <cfRule type="cellIs" dxfId="275" priority="7" operator="equal">
      <formula>0</formula>
    </cfRule>
  </conditionalFormatting>
  <conditionalFormatting sqref="I24">
    <cfRule type="cellIs" dxfId="274" priority="6" operator="equal">
      <formula>0</formula>
    </cfRule>
  </conditionalFormatting>
  <conditionalFormatting sqref="W24:Z24">
    <cfRule type="cellIs" dxfId="273" priority="21" operator="equal">
      <formula>0</formula>
    </cfRule>
  </conditionalFormatting>
  <conditionalFormatting sqref="B46">
    <cfRule type="cellIs" dxfId="272" priority="20" operator="equal">
      <formula>0</formula>
    </cfRule>
  </conditionalFormatting>
  <conditionalFormatting sqref="S24:V24">
    <cfRule type="cellIs" dxfId="271" priority="17" operator="equal">
      <formula>0</formula>
    </cfRule>
  </conditionalFormatting>
  <conditionalFormatting sqref="S24:V24">
    <cfRule type="cellIs" dxfId="270" priority="16" operator="equal">
      <formula>0</formula>
    </cfRule>
  </conditionalFormatting>
  <conditionalFormatting sqref="S24:V24">
    <cfRule type="cellIs" dxfId="269" priority="14" operator="equal">
      <formula>0</formula>
    </cfRule>
  </conditionalFormatting>
  <conditionalFormatting sqref="S24:V24">
    <cfRule type="cellIs" dxfId="268" priority="13" operator="equal">
      <formula>0</formula>
    </cfRule>
  </conditionalFormatting>
  <conditionalFormatting sqref="S24:V24">
    <cfRule type="cellIs" dxfId="267" priority="12" operator="equal">
      <formula>0</formula>
    </cfRule>
  </conditionalFormatting>
  <conditionalFormatting sqref="J24">
    <cfRule type="cellIs" dxfId="266" priority="5" operator="equal">
      <formula>0</formula>
    </cfRule>
  </conditionalFormatting>
  <conditionalFormatting sqref="G24">
    <cfRule type="cellIs" dxfId="265" priority="4" operator="equal">
      <formula>0</formula>
    </cfRule>
  </conditionalFormatting>
  <conditionalFormatting sqref="F24">
    <cfRule type="cellIs" dxfId="264" priority="3" operator="equal">
      <formula>0</formula>
    </cfRule>
  </conditionalFormatting>
  <conditionalFormatting sqref="C24:V24">
    <cfRule type="cellIs" dxfId="263" priority="2" operator="equal">
      <formula>0</formula>
    </cfRule>
  </conditionalFormatting>
  <conditionalFormatting sqref="C15:V15">
    <cfRule type="cellIs" dxfId="262" priority="1" operator="equal">
      <formula>0</formula>
    </cfRule>
  </conditionalFormatting>
  <pageMargins left="0.6" right="0.48" top="0.56000000000000005" bottom="0.39370078740157483" header="0.31496062992125984" footer="0.31496062992125984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4" zoomScaleNormal="100" zoomScaleSheetLayoutView="100" workbookViewId="0">
      <selection activeCell="B42" activeCellId="1" sqref="B35 B42"/>
    </sheetView>
  </sheetViews>
  <sheetFormatPr defaultColWidth="0" defaultRowHeight="12.75" zeroHeight="1" x14ac:dyDescent="0.2"/>
  <cols>
    <col min="1" max="1" width="42" customWidth="1"/>
    <col min="2" max="2" width="11.42578125" style="168" bestFit="1" customWidth="1"/>
    <col min="3" max="3" width="8.28515625" style="168" bestFit="1" customWidth="1"/>
    <col min="4" max="6" width="8.140625" style="168" bestFit="1" customWidth="1"/>
    <col min="7" max="16384" width="9.140625" hidden="1"/>
  </cols>
  <sheetData>
    <row r="1" spans="1:6" ht="15.75" x14ac:dyDescent="0.25">
      <c r="A1" s="59" t="s">
        <v>84</v>
      </c>
    </row>
    <row r="2" spans="1:6" ht="15.75" x14ac:dyDescent="0.25">
      <c r="A2" s="59"/>
    </row>
    <row r="3" spans="1:6" x14ac:dyDescent="0.2">
      <c r="A3" s="28" t="s">
        <v>157</v>
      </c>
    </row>
    <row r="4" spans="1:6" x14ac:dyDescent="0.2"/>
    <row r="5" spans="1:6" x14ac:dyDescent="0.2">
      <c r="A5" s="141"/>
      <c r="B5" s="74" t="s">
        <v>1</v>
      </c>
      <c r="C5" s="74" t="s">
        <v>141</v>
      </c>
      <c r="D5" s="74" t="s">
        <v>89</v>
      </c>
      <c r="E5" s="74" t="s">
        <v>112</v>
      </c>
      <c r="F5" s="74" t="s">
        <v>113</v>
      </c>
    </row>
    <row r="6" spans="1:6" x14ac:dyDescent="0.2">
      <c r="A6" s="166" t="s">
        <v>14</v>
      </c>
      <c r="B6" s="122">
        <f>Обоснование!B9</f>
        <v>3.0255000000000001</v>
      </c>
      <c r="C6" s="122">
        <f>$B$6*C7/$B$7</f>
        <v>0.75637500000000002</v>
      </c>
      <c r="D6" s="122">
        <f>$B$6*D7/$B$7</f>
        <v>0.75637500000000002</v>
      </c>
      <c r="E6" s="122">
        <f>$B$6*E7/$B$7</f>
        <v>0.75637500000000002</v>
      </c>
      <c r="F6" s="122">
        <f>$B$6*F7/$B$7</f>
        <v>0.75637500000000002</v>
      </c>
    </row>
    <row r="7" spans="1:6" x14ac:dyDescent="0.2">
      <c r="A7" s="166" t="s">
        <v>79</v>
      </c>
      <c r="B7" s="120">
        <f>SUM(C7:F7)</f>
        <v>45382.5</v>
      </c>
      <c r="C7" s="120">
        <f>Обоснование!$B$11/4</f>
        <v>11345.625</v>
      </c>
      <c r="D7" s="120">
        <f>Обоснование!$B$11/4</f>
        <v>11345.625</v>
      </c>
      <c r="E7" s="120">
        <f>Обоснование!$B$11/4</f>
        <v>11345.625</v>
      </c>
      <c r="F7" s="120">
        <f>Обоснование!$B$11/4</f>
        <v>11345.625</v>
      </c>
    </row>
    <row r="8" spans="1:6" ht="25.5" x14ac:dyDescent="0.2">
      <c r="A8" s="92" t="s">
        <v>144</v>
      </c>
      <c r="B8" s="121">
        <f>B9/B7</f>
        <v>39.744456499999998</v>
      </c>
      <c r="C8" s="121">
        <f>'Э1 (СЗ) (2)'!B4</f>
        <v>38</v>
      </c>
      <c r="D8" s="121">
        <f>'Э2 (СЗ) (2)'!B4</f>
        <v>39.14</v>
      </c>
      <c r="E8" s="153">
        <f>'Э3 (СЗ) (2)'!B4</f>
        <v>40.3142</v>
      </c>
      <c r="F8" s="153">
        <f>'Э4 (СЗ) (2)'!B4</f>
        <v>41.523626</v>
      </c>
    </row>
    <row r="9" spans="1:6" x14ac:dyDescent="0.2">
      <c r="A9" s="166" t="s">
        <v>121</v>
      </c>
      <c r="B9" s="120">
        <f>SUM(C9:F9)</f>
        <v>1803702.79711125</v>
      </c>
      <c r="C9" s="120">
        <f>C7*C8</f>
        <v>431133.75</v>
      </c>
      <c r="D9" s="120">
        <f t="shared" ref="D9:F9" si="0">D7*D8</f>
        <v>444067.76250000001</v>
      </c>
      <c r="E9" s="120">
        <f t="shared" si="0"/>
        <v>457389.79537499999</v>
      </c>
      <c r="F9" s="120">
        <f t="shared" si="0"/>
        <v>471111.48923625</v>
      </c>
    </row>
    <row r="10" spans="1:6" ht="25.5" x14ac:dyDescent="0.2">
      <c r="A10" s="92" t="s">
        <v>143</v>
      </c>
      <c r="B10" s="120">
        <f>SUM(C10:F10)</f>
        <v>72148.111884450002</v>
      </c>
      <c r="C10" s="120">
        <f>C9*$B$23</f>
        <v>17245.349999999999</v>
      </c>
      <c r="D10" s="120">
        <f>D9*$B$23</f>
        <v>17762.710500000001</v>
      </c>
      <c r="E10" s="120">
        <f>E9*$B$23</f>
        <v>18295.591815</v>
      </c>
      <c r="F10" s="120">
        <f>F9*$B$23</f>
        <v>18844.459569449999</v>
      </c>
    </row>
    <row r="11" spans="1:6" ht="25.5" x14ac:dyDescent="0.2">
      <c r="A11" s="166" t="s">
        <v>154</v>
      </c>
      <c r="B11" s="76">
        <f>B12/(B9)</f>
        <v>0.05</v>
      </c>
      <c r="C11" s="76">
        <v>0.05</v>
      </c>
      <c r="D11" s="76">
        <v>0.05</v>
      </c>
      <c r="E11" s="76">
        <f t="shared" ref="E11:F11" si="1">D11</f>
        <v>0.05</v>
      </c>
      <c r="F11" s="76">
        <f t="shared" si="1"/>
        <v>0.05</v>
      </c>
    </row>
    <row r="12" spans="1:6" ht="25.5" x14ac:dyDescent="0.2">
      <c r="A12" s="166" t="s">
        <v>150</v>
      </c>
      <c r="B12" s="120">
        <f>SUM(C12:F12)</f>
        <v>90185.139855562506</v>
      </c>
      <c r="C12" s="120">
        <f>(C9)*C11</f>
        <v>21556.6875</v>
      </c>
      <c r="D12" s="120">
        <f>(D9)*D11</f>
        <v>22203.388125000001</v>
      </c>
      <c r="E12" s="120">
        <f>(E9)*E11</f>
        <v>22869.489768750002</v>
      </c>
      <c r="F12" s="120">
        <f>(F9)*F11</f>
        <v>23555.574461812503</v>
      </c>
    </row>
    <row r="13" spans="1:6" ht="25.5" x14ac:dyDescent="0.2">
      <c r="A13" s="167" t="s">
        <v>140</v>
      </c>
      <c r="B13" s="75"/>
      <c r="C13" s="76">
        <v>0.5</v>
      </c>
      <c r="D13" s="76">
        <f>C13</f>
        <v>0.5</v>
      </c>
      <c r="E13" s="76">
        <f>D13</f>
        <v>0.5</v>
      </c>
      <c r="F13" s="76">
        <f>E13</f>
        <v>0.5</v>
      </c>
    </row>
    <row r="14" spans="1:6" x14ac:dyDescent="0.2">
      <c r="A14" s="77" t="s">
        <v>142</v>
      </c>
      <c r="B14" s="78"/>
      <c r="C14" s="79"/>
      <c r="D14" s="79"/>
      <c r="E14" s="79"/>
      <c r="F14" s="79"/>
    </row>
    <row r="15" spans="1:6" ht="25.5" x14ac:dyDescent="0.2">
      <c r="A15" s="77" t="s">
        <v>155</v>
      </c>
      <c r="B15" s="78"/>
      <c r="C15" s="79"/>
      <c r="D15" s="79"/>
      <c r="E15" s="79"/>
      <c r="F15" s="79"/>
    </row>
    <row r="16" spans="1:6" x14ac:dyDescent="0.2">
      <c r="A16" s="77"/>
      <c r="B16" s="78"/>
      <c r="C16" s="87"/>
      <c r="D16" s="79"/>
    </row>
    <row r="17" spans="1:6" x14ac:dyDescent="0.2">
      <c r="A17" s="88" t="s">
        <v>159</v>
      </c>
      <c r="B17" s="169"/>
      <c r="C17" s="169"/>
      <c r="D17" s="169"/>
    </row>
    <row r="18" spans="1:6" x14ac:dyDescent="0.2">
      <c r="A18" s="139" t="s">
        <v>111</v>
      </c>
      <c r="B18" s="129">
        <f>ИДиР!B18</f>
        <v>0.1</v>
      </c>
      <c r="C18" s="192" t="s">
        <v>131</v>
      </c>
      <c r="D18" s="192"/>
      <c r="E18" s="192"/>
      <c r="F18" s="192"/>
    </row>
    <row r="19" spans="1:6" x14ac:dyDescent="0.2">
      <c r="A19" s="92" t="s">
        <v>64</v>
      </c>
      <c r="B19" s="129">
        <f>ИДиР!B19</f>
        <v>0.1</v>
      </c>
      <c r="C19" s="192" t="s">
        <v>131</v>
      </c>
      <c r="D19" s="192"/>
      <c r="E19" s="192"/>
      <c r="F19" s="192"/>
    </row>
    <row r="20" spans="1:6" x14ac:dyDescent="0.2">
      <c r="A20" s="92" t="s">
        <v>63</v>
      </c>
      <c r="B20" s="129">
        <f>ИДиР!B20</f>
        <v>0.1</v>
      </c>
      <c r="C20" s="192" t="s">
        <v>131</v>
      </c>
      <c r="D20" s="192"/>
      <c r="E20" s="192"/>
      <c r="F20" s="192"/>
    </row>
    <row r="21" spans="1:6" ht="25.5" x14ac:dyDescent="0.2">
      <c r="A21" s="92" t="s">
        <v>80</v>
      </c>
      <c r="B21" s="129">
        <f>ИДиР!B21</f>
        <v>0.05</v>
      </c>
      <c r="C21" s="192" t="s">
        <v>131</v>
      </c>
      <c r="D21" s="192"/>
      <c r="E21" s="192"/>
      <c r="F21" s="192"/>
    </row>
    <row r="22" spans="1:6" x14ac:dyDescent="0.2">
      <c r="A22" s="92" t="s">
        <v>128</v>
      </c>
      <c r="B22" s="129">
        <f>ИДиР!B22</f>
        <v>0.05</v>
      </c>
      <c r="C22" s="192" t="s">
        <v>131</v>
      </c>
      <c r="D22" s="192"/>
      <c r="E22" s="192"/>
      <c r="F22" s="192"/>
    </row>
    <row r="23" spans="1:6" ht="25.5" x14ac:dyDescent="0.2">
      <c r="A23" s="92" t="s">
        <v>143</v>
      </c>
      <c r="B23" s="129">
        <f>ИДиР!B23</f>
        <v>0.04</v>
      </c>
      <c r="C23" s="192" t="s">
        <v>146</v>
      </c>
      <c r="D23" s="192"/>
      <c r="E23" s="192"/>
      <c r="F23" s="192"/>
    </row>
    <row r="24" spans="1:6" x14ac:dyDescent="0.2">
      <c r="A24" s="92" t="s">
        <v>125</v>
      </c>
      <c r="B24" s="129">
        <f>ИДиР!B24</f>
        <v>5.0000000000000001E-3</v>
      </c>
      <c r="C24" s="192" t="s">
        <v>147</v>
      </c>
      <c r="D24" s="192"/>
      <c r="E24" s="192"/>
      <c r="F24" s="192"/>
    </row>
    <row r="25" spans="1:6" x14ac:dyDescent="0.2">
      <c r="A25" s="92" t="s">
        <v>127</v>
      </c>
      <c r="B25" s="129">
        <f>ИДиР!B25</f>
        <v>5.0000000000000001E-3</v>
      </c>
      <c r="C25" s="192" t="s">
        <v>147</v>
      </c>
      <c r="D25" s="192"/>
      <c r="E25" s="192"/>
      <c r="F25" s="192"/>
    </row>
    <row r="26" spans="1:6" x14ac:dyDescent="0.2">
      <c r="A26" s="140" t="s">
        <v>132</v>
      </c>
      <c r="B26" s="129">
        <f>ИДиР!B26</f>
        <v>0.09</v>
      </c>
      <c r="C26" s="192" t="s">
        <v>131</v>
      </c>
      <c r="D26" s="192"/>
      <c r="E26" s="192"/>
      <c r="F26" s="192"/>
    </row>
    <row r="27" spans="1:6" ht="25.5" x14ac:dyDescent="0.2">
      <c r="A27" s="140" t="s">
        <v>148</v>
      </c>
      <c r="B27" s="129">
        <f>ИДиР!B27</f>
        <v>0.06</v>
      </c>
      <c r="C27" s="192" t="s">
        <v>131</v>
      </c>
      <c r="D27" s="192"/>
      <c r="E27" s="192"/>
      <c r="F27" s="192"/>
    </row>
    <row r="28" spans="1:6" x14ac:dyDescent="0.2">
      <c r="A28" s="80"/>
      <c r="B28" s="169"/>
      <c r="C28" s="169"/>
      <c r="D28" s="169"/>
    </row>
    <row r="29" spans="1:6" x14ac:dyDescent="0.2">
      <c r="A29" s="80"/>
      <c r="B29" s="169"/>
      <c r="C29" s="169"/>
      <c r="D29" s="169"/>
    </row>
    <row r="30" spans="1:6" x14ac:dyDescent="0.2">
      <c r="A30" s="31" t="s">
        <v>78</v>
      </c>
      <c r="B30" s="7"/>
      <c r="C30" s="169"/>
      <c r="D30" s="169"/>
    </row>
    <row r="31" spans="1:6" x14ac:dyDescent="0.2">
      <c r="A31" s="142" t="s">
        <v>85</v>
      </c>
      <c r="B31" s="74" t="s">
        <v>1</v>
      </c>
      <c r="C31" s="74" t="s">
        <v>87</v>
      </c>
      <c r="D31" s="74" t="s">
        <v>89</v>
      </c>
      <c r="E31" s="74" t="s">
        <v>112</v>
      </c>
      <c r="F31" s="74" t="s">
        <v>113</v>
      </c>
    </row>
    <row r="32" spans="1:6" x14ac:dyDescent="0.2">
      <c r="A32" s="143" t="s">
        <v>38</v>
      </c>
      <c r="B32" s="75">
        <f>SUM(C32:F32)</f>
        <v>3017420.5958014969</v>
      </c>
      <c r="C32" s="17">
        <f>'Э1 (СЗ) (2)'!B48</f>
        <v>754355.14895037422</v>
      </c>
      <c r="D32" s="17">
        <f>'Э2 (СЗ) (2)'!B48</f>
        <v>754355.14895037422</v>
      </c>
      <c r="E32" s="17">
        <f>'Э3 (СЗ) (2)'!B48</f>
        <v>754355.14895037422</v>
      </c>
      <c r="F32" s="17">
        <f>'Э4 (СЗ) (2)'!B48</f>
        <v>754355.14895037422</v>
      </c>
    </row>
    <row r="33" spans="1:6" x14ac:dyDescent="0.2">
      <c r="A33" s="143" t="s">
        <v>47</v>
      </c>
      <c r="B33" s="75">
        <f>SUM(C33:F33)</f>
        <v>-1959795.5719562601</v>
      </c>
      <c r="C33" s="17">
        <f>'Э1 (СЗ) (2)'!B49</f>
        <v>-476525.24033581023</v>
      </c>
      <c r="D33" s="17">
        <f>'Э2 (СЗ) (2)'!B49</f>
        <v>-491299.6251366706</v>
      </c>
      <c r="E33" s="17">
        <f>'Э3 (СЗ) (2)'!B49</f>
        <v>-488257.98509781511</v>
      </c>
      <c r="F33" s="17">
        <f>'Э4 (СЗ) (2)'!B49</f>
        <v>-503712.72138596425</v>
      </c>
    </row>
    <row r="34" spans="1:6" x14ac:dyDescent="0.2">
      <c r="A34" s="143" t="s">
        <v>5</v>
      </c>
      <c r="B34" s="75">
        <f>SUM(C34:F34)</f>
        <v>-211525.00476904743</v>
      </c>
      <c r="C34" s="17">
        <f>'Э1 (СЗ) (2)'!B53</f>
        <v>-55565.981722912838</v>
      </c>
      <c r="D34" s="17">
        <f>'Э2 (СЗ) (2)'!B53</f>
        <v>-52611.104762740753</v>
      </c>
      <c r="E34" s="17">
        <f>'Э3 (СЗ) (2)'!B53</f>
        <v>-53219.432770511841</v>
      </c>
      <c r="F34" s="17">
        <f>'Э4 (СЗ) (2)'!B53</f>
        <v>-50128.485512882005</v>
      </c>
    </row>
    <row r="35" spans="1:6" x14ac:dyDescent="0.2">
      <c r="A35" s="144" t="s">
        <v>11</v>
      </c>
      <c r="B35" s="106">
        <f>SUM(C35:F35)</f>
        <v>846100.01907618926</v>
      </c>
      <c r="C35" s="14">
        <f>C32+C33+C34</f>
        <v>222263.92689165115</v>
      </c>
      <c r="D35" s="14">
        <f t="shared" ref="D35:F35" si="2">D32+D33+D34</f>
        <v>210444.41905096287</v>
      </c>
      <c r="E35" s="14">
        <f t="shared" si="2"/>
        <v>212877.73108204728</v>
      </c>
      <c r="F35" s="14">
        <f t="shared" si="2"/>
        <v>200513.94205152796</v>
      </c>
    </row>
    <row r="36" spans="1:6" x14ac:dyDescent="0.2">
      <c r="A36" s="145" t="s">
        <v>72</v>
      </c>
      <c r="B36" s="32">
        <f>B35/(-B33-B34)</f>
        <v>0.38967070461435088</v>
      </c>
      <c r="C36" s="32">
        <f>C35/(-C33-C34)</f>
        <v>0.41771771019203446</v>
      </c>
      <c r="D36" s="32">
        <f>D35/(-D33-D34)</f>
        <v>0.38690985024303826</v>
      </c>
      <c r="E36" s="32">
        <f>IFERROR(E35/(-E33-E34),0)</f>
        <v>0.39314239903133602</v>
      </c>
      <c r="F36" s="32">
        <f>IFERROR(F35/(-F33-F34),0)</f>
        <v>0.36204229579499297</v>
      </c>
    </row>
    <row r="37" spans="1:6" x14ac:dyDescent="0.2">
      <c r="A37" s="145" t="s">
        <v>73</v>
      </c>
      <c r="B37" s="32">
        <f>'Свод (2)'!B41</f>
        <v>0.45094699418459516</v>
      </c>
      <c r="C37" s="32">
        <f>'Э1 (СЗ) (2)'!B46</f>
        <v>0.4941846397073224</v>
      </c>
      <c r="D37" s="32">
        <f>'Э2 (СЗ) (2)'!B46</f>
        <v>0.46154969968930626</v>
      </c>
      <c r="E37" s="32">
        <f>'Э3 (СЗ) (2)'!B46</f>
        <v>0.42268988088055615</v>
      </c>
      <c r="F37" s="32">
        <f>'Э4 (СЗ) (2)'!B46</f>
        <v>0.39168111767053926</v>
      </c>
    </row>
    <row r="38" spans="1:6" x14ac:dyDescent="0.2">
      <c r="A38" s="142" t="s">
        <v>86</v>
      </c>
      <c r="B38" s="90"/>
      <c r="C38" s="90"/>
      <c r="D38" s="90"/>
      <c r="E38" s="90"/>
      <c r="F38" s="90"/>
    </row>
    <row r="39" spans="1:6" x14ac:dyDescent="0.2">
      <c r="A39" s="143" t="s">
        <v>38</v>
      </c>
      <c r="B39" s="17">
        <f>'Свод (2)'!B55</f>
        <v>908760.05751219997</v>
      </c>
      <c r="C39" s="17"/>
      <c r="D39" s="17"/>
      <c r="E39" s="17"/>
      <c r="F39" s="17"/>
    </row>
    <row r="40" spans="1:6" x14ac:dyDescent="0.2">
      <c r="A40" s="143" t="s">
        <v>47</v>
      </c>
      <c r="B40" s="17">
        <f>'Свод (2)'!B60+'Свод (2)'!B70</f>
        <v>-406561.11667229939</v>
      </c>
      <c r="C40" s="17"/>
      <c r="D40" s="17"/>
      <c r="E40" s="17"/>
      <c r="F40" s="17"/>
    </row>
    <row r="41" spans="1:6" x14ac:dyDescent="0.2">
      <c r="A41" s="146" t="s">
        <v>133</v>
      </c>
      <c r="B41" s="17">
        <f>'Свод (2)'!B64</f>
        <v>-240000</v>
      </c>
      <c r="C41" s="17"/>
      <c r="D41" s="17"/>
      <c r="E41" s="17"/>
      <c r="F41" s="17"/>
    </row>
    <row r="42" spans="1:6" x14ac:dyDescent="0.2">
      <c r="A42" s="144" t="s">
        <v>11</v>
      </c>
      <c r="B42" s="14">
        <f>B39+B40</f>
        <v>502198.94083990058</v>
      </c>
      <c r="C42" s="14"/>
      <c r="D42" s="14"/>
      <c r="E42" s="14"/>
      <c r="F42" s="14"/>
    </row>
    <row r="43" spans="1:6" x14ac:dyDescent="0.2">
      <c r="A43" s="145" t="s">
        <v>72</v>
      </c>
      <c r="B43" s="86">
        <f>-B42/B40</f>
        <v>1.2352360327775471</v>
      </c>
      <c r="C43" s="86"/>
      <c r="D43" s="86"/>
      <c r="E43" s="86"/>
      <c r="F43" s="86"/>
    </row>
    <row r="44" spans="1:6" x14ac:dyDescent="0.2">
      <c r="A44" s="145" t="s">
        <v>73</v>
      </c>
      <c r="B44" s="32">
        <f>'Свод (2)'!B77</f>
        <v>0.33939147707374051</v>
      </c>
      <c r="C44" s="32"/>
      <c r="D44" s="32"/>
      <c r="E44" s="32"/>
      <c r="F44" s="32"/>
    </row>
    <row r="45" spans="1:6" hidden="1" x14ac:dyDescent="0.2"/>
    <row r="46" spans="1:6" hidden="1" x14ac:dyDescent="0.2"/>
    <row r="47" spans="1:6" hidden="1" x14ac:dyDescent="0.2"/>
  </sheetData>
  <mergeCells count="10">
    <mergeCell ref="C24:F24"/>
    <mergeCell ref="C25:F25"/>
    <mergeCell ref="C26:F26"/>
    <mergeCell ref="C27:F27"/>
    <mergeCell ref="C18:F18"/>
    <mergeCell ref="C19:F19"/>
    <mergeCell ref="C20:F20"/>
    <mergeCell ref="C21:F21"/>
    <mergeCell ref="C22:F22"/>
    <mergeCell ref="C23:F23"/>
  </mergeCells>
  <pageMargins left="0.70866141732283472" right="0.56999999999999995" top="0.62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102"/>
  <sheetViews>
    <sheetView topLeftCell="A33" zoomScale="70" zoomScaleNormal="70" zoomScaleSheetLayoutView="70" workbookViewId="0">
      <selection activeCell="C1" sqref="C1:D1048576"/>
    </sheetView>
  </sheetViews>
  <sheetFormatPr defaultColWidth="0" defaultRowHeight="12.75" customHeight="1" zeroHeight="1" outlineLevelRow="2" outlineLevelCol="1" x14ac:dyDescent="0.2"/>
  <cols>
    <col min="1" max="1" width="34.5703125" customWidth="1"/>
    <col min="2" max="2" width="13.85546875" style="7" bestFit="1" customWidth="1"/>
    <col min="3" max="4" width="9.28515625" style="7" hidden="1" customWidth="1" outlineLevel="1"/>
    <col min="5" max="5" width="9.28515625" style="7" bestFit="1" customWidth="1" collapsed="1"/>
    <col min="6" max="6" width="9.28515625" style="7" bestFit="1" customWidth="1"/>
    <col min="7" max="7" width="9.28515625" style="12" bestFit="1" customWidth="1"/>
    <col min="8" max="9" width="10.140625" style="12" bestFit="1" customWidth="1"/>
    <col min="10" max="12" width="10.140625" bestFit="1" customWidth="1"/>
    <col min="13" max="13" width="9.28515625" bestFit="1" customWidth="1"/>
    <col min="14" max="14" width="10.140625" bestFit="1" customWidth="1"/>
    <col min="15" max="18" width="9.28515625" bestFit="1" customWidth="1"/>
    <col min="19" max="22" width="9.28515625" customWidth="1"/>
    <col min="23" max="26" width="9.7109375" hidden="1" customWidth="1"/>
    <col min="27" max="16384" width="9.140625" hidden="1"/>
  </cols>
  <sheetData>
    <row r="1" spans="1:26" ht="20.25" x14ac:dyDescent="0.3">
      <c r="A1" s="33" t="s">
        <v>71</v>
      </c>
      <c r="Q1" s="26"/>
    </row>
    <row r="2" spans="1:26" x14ac:dyDescent="0.2">
      <c r="G2" s="23"/>
      <c r="H2" s="23"/>
      <c r="I2" s="23"/>
      <c r="J2" s="24"/>
    </row>
    <row r="3" spans="1:26" x14ac:dyDescent="0.2">
      <c r="A3" t="str">
        <f>'ИДиР (2)'!A3</f>
        <v>Вариант Альтернативный. Выкуп права участия в проекте сразу за д/с</v>
      </c>
      <c r="G3" s="23"/>
      <c r="H3" s="23"/>
      <c r="I3" s="23"/>
      <c r="J3" s="24"/>
    </row>
    <row r="4" spans="1:26" x14ac:dyDescent="0.2">
      <c r="B4" s="138"/>
    </row>
    <row r="5" spans="1:26" ht="15" x14ac:dyDescent="0.25">
      <c r="A5" s="61" t="s">
        <v>60</v>
      </c>
      <c r="B5" s="62"/>
      <c r="C5" s="194">
        <v>2020</v>
      </c>
      <c r="D5" s="194"/>
      <c r="E5" s="194"/>
      <c r="F5" s="194"/>
      <c r="G5" s="194">
        <f>C5+1</f>
        <v>2021</v>
      </c>
      <c r="H5" s="194"/>
      <c r="I5" s="194"/>
      <c r="J5" s="194"/>
      <c r="K5" s="194">
        <f>G5+1</f>
        <v>2022</v>
      </c>
      <c r="L5" s="194"/>
      <c r="M5" s="194"/>
      <c r="N5" s="194"/>
      <c r="O5" s="194">
        <f>K5+1</f>
        <v>2023</v>
      </c>
      <c r="P5" s="194"/>
      <c r="Q5" s="194"/>
      <c r="R5" s="194"/>
      <c r="S5" s="194">
        <f>O5+1</f>
        <v>2024</v>
      </c>
      <c r="T5" s="194"/>
      <c r="U5" s="194"/>
      <c r="V5" s="194"/>
      <c r="W5" s="194">
        <f>S5+1</f>
        <v>2025</v>
      </c>
      <c r="X5" s="194"/>
      <c r="Y5" s="194"/>
      <c r="Z5" s="194"/>
    </row>
    <row r="6" spans="1:26" ht="15" x14ac:dyDescent="0.25">
      <c r="A6" s="64" t="s">
        <v>58</v>
      </c>
      <c r="B6" s="62"/>
      <c r="C6" s="62" t="s">
        <v>15</v>
      </c>
      <c r="D6" s="62" t="s">
        <v>16</v>
      </c>
      <c r="E6" s="62" t="s">
        <v>17</v>
      </c>
      <c r="F6" s="62" t="s">
        <v>18</v>
      </c>
      <c r="G6" s="62" t="s">
        <v>15</v>
      </c>
      <c r="H6" s="62" t="s">
        <v>16</v>
      </c>
      <c r="I6" s="62" t="s">
        <v>17</v>
      </c>
      <c r="J6" s="62" t="s">
        <v>18</v>
      </c>
      <c r="K6" s="62" t="s">
        <v>15</v>
      </c>
      <c r="L6" s="62" t="s">
        <v>16</v>
      </c>
      <c r="M6" s="62" t="s">
        <v>17</v>
      </c>
      <c r="N6" s="62" t="s">
        <v>18</v>
      </c>
      <c r="O6" s="62" t="s">
        <v>15</v>
      </c>
      <c r="P6" s="62" t="s">
        <v>16</v>
      </c>
      <c r="Q6" s="62" t="s">
        <v>17</v>
      </c>
      <c r="R6" s="62" t="s">
        <v>18</v>
      </c>
      <c r="S6" s="62" t="s">
        <v>15</v>
      </c>
      <c r="T6" s="62" t="s">
        <v>16</v>
      </c>
      <c r="U6" s="62" t="s">
        <v>17</v>
      </c>
      <c r="V6" s="62" t="s">
        <v>18</v>
      </c>
      <c r="W6" s="62" t="s">
        <v>15</v>
      </c>
      <c r="X6" s="62" t="s">
        <v>16</v>
      </c>
      <c r="Y6" s="62" t="s">
        <v>17</v>
      </c>
      <c r="Z6" s="62" t="s">
        <v>18</v>
      </c>
    </row>
    <row r="7" spans="1:26" ht="12.75" hidden="1" customHeight="1" outlineLevel="1" x14ac:dyDescent="0.2">
      <c r="A7" s="36"/>
      <c r="B7" s="34"/>
      <c r="C7" s="147">
        <v>57.438000000000002</v>
      </c>
      <c r="D7" s="147">
        <f>C7*(1+'ИДиР (2)'!$B$26/4)</f>
        <v>58.730355000000003</v>
      </c>
      <c r="E7" s="147">
        <f>D7*(1+'ИДиР (2)'!$B$26/4)</f>
        <v>60.051787987499999</v>
      </c>
      <c r="F7" s="147">
        <f>E7*(1+'ИДиР (2)'!$B$26/4)</f>
        <v>61.402953217218744</v>
      </c>
      <c r="G7" s="147">
        <f>F7*(1+'ИДиР (2)'!$B$26/4)</f>
        <v>62.784519664606165</v>
      </c>
      <c r="H7" s="147">
        <f>G7*(1+'ИДиР (2)'!$B$26/4)</f>
        <v>64.197171357059801</v>
      </c>
      <c r="I7" s="147">
        <f>H7*(1+'ИДиР (2)'!$B$26/4)</f>
        <v>65.64160771259364</v>
      </c>
      <c r="J7" s="147">
        <f>I7*(1+'ИДиР (2)'!$B$26/4)</f>
        <v>67.118543886127</v>
      </c>
      <c r="K7" s="147">
        <f>J7*(1+'ИДиР (2)'!$B$26/4)</f>
        <v>68.628711123564855</v>
      </c>
      <c r="L7" s="147">
        <f>K7*(1+'ИДиР (2)'!$B$26/4)</f>
        <v>70.172857123845063</v>
      </c>
      <c r="M7" s="147">
        <f>L7*(1+'ИДиР (2)'!$B$26/4)</f>
        <v>71.75174640913157</v>
      </c>
      <c r="N7" s="147">
        <f>M7*(1+'ИДиР (2)'!$B$26/4)</f>
        <v>73.36616070333703</v>
      </c>
      <c r="O7" s="147">
        <f>N7*(1+'ИДиР (2)'!$B$26/4)</f>
        <v>75.016899319162107</v>
      </c>
      <c r="P7" s="147">
        <f>O7*(1+'ИДиР (2)'!$B$26/4)</f>
        <v>76.704779553843252</v>
      </c>
      <c r="Q7" s="147">
        <f>P7*(1+'ИДиР (2)'!$B$26/4)</f>
        <v>78.430637093804719</v>
      </c>
      <c r="R7" s="147">
        <f>Q7*(1+'ИДиР (2)'!$B$26/4)</f>
        <v>80.195326428415328</v>
      </c>
      <c r="S7" s="35"/>
      <c r="T7" s="35"/>
      <c r="U7" s="35"/>
      <c r="V7" s="35"/>
      <c r="W7" s="90"/>
      <c r="X7" s="90"/>
      <c r="Y7" s="90"/>
      <c r="Z7" s="90"/>
    </row>
    <row r="8" spans="1:26" ht="12.75" hidden="1" customHeight="1" outlineLevel="1" x14ac:dyDescent="0.2">
      <c r="A8" s="36"/>
      <c r="B8" s="3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35"/>
      <c r="T8" s="35"/>
      <c r="U8" s="35"/>
      <c r="V8" s="35"/>
      <c r="W8" s="90"/>
      <c r="X8" s="90"/>
      <c r="Y8" s="90"/>
      <c r="Z8" s="90"/>
    </row>
    <row r="9" spans="1:26" collapsed="1" x14ac:dyDescent="0.2">
      <c r="A9" s="36" t="s">
        <v>82</v>
      </c>
      <c r="B9" s="51">
        <f>B12/'ИДиР (2)'!B7</f>
        <v>66.488637598226134</v>
      </c>
      <c r="C9" s="172" t="str">
        <f>IFERROR(('Э1 (СЗ) (2)'!C14*'Э1 (СЗ) (2)'!C15+'Э2 (СЗ) (2)'!C14*'Э2 (СЗ) (2)'!C15+'Э3 (СЗ) (2)'!C14*'Э3 (СЗ) (2)'!C15+'Э4 (СЗ) (2)'!C14*'Э4 (СЗ) (2)'!C15)/C10,"")</f>
        <v/>
      </c>
      <c r="D9" s="172" t="str">
        <f>IFERROR(('Э1 (СЗ) (2)'!D14*'Э1 (СЗ) (2)'!D15+'Э2 (СЗ) (2)'!D14*'Э2 (СЗ) (2)'!D15+'Э3 (СЗ) (2)'!D14*'Э3 (СЗ) (2)'!D15+'Э4 (СЗ) (2)'!D14*'Э4 (СЗ) (2)'!D15)/D10,"")</f>
        <v/>
      </c>
      <c r="E9" s="172" t="str">
        <f>IFERROR(('Э1 (СЗ) (2)'!E14*'Э1 (СЗ) (2)'!E15+'Э2 (СЗ) (2)'!E14*'Э2 (СЗ) (2)'!E15+'Э3 (СЗ) (2)'!E14*'Э3 (СЗ) (2)'!E15+'Э4 (СЗ) (2)'!E14*'Э4 (СЗ) (2)'!E15)/E10,"")</f>
        <v/>
      </c>
      <c r="F9" s="172" t="str">
        <f>IFERROR(('Э1 (СЗ) (2)'!F14*'Э1 (СЗ) (2)'!F15+'Э2 (СЗ) (2)'!F14*'Э2 (СЗ) (2)'!F15+'Э3 (СЗ) (2)'!F14*'Э3 (СЗ) (2)'!F15+'Э4 (СЗ) (2)'!F14*'Э4 (СЗ) (2)'!F15)/F10,"")</f>
        <v/>
      </c>
      <c r="G9" s="172" t="str">
        <f>IFERROR(('Э1 (СЗ) (2)'!G14*'Э1 (СЗ) (2)'!G15+'Э2 (СЗ) (2)'!G14*'Э2 (СЗ) (2)'!G15+'Э3 (СЗ) (2)'!G14*'Э3 (СЗ) (2)'!G15+'Э4 (СЗ) (2)'!G14*'Э4 (СЗ) (2)'!G15)/G10,"")</f>
        <v/>
      </c>
      <c r="H9" s="172">
        <f>IFERROR(('Э1 (СЗ) (2)'!H14*'Э1 (СЗ) (2)'!H15+'Э2 (СЗ) (2)'!H14*'Э2 (СЗ) (2)'!H15+'Э3 (СЗ) (2)'!H14*'Э3 (СЗ) (2)'!H15+'Э4 (СЗ) (2)'!H14*'Э4 (СЗ) (2)'!H15)/H10,"")</f>
        <v>61.25542705781249</v>
      </c>
      <c r="I9" s="172">
        <f>IFERROR(('Э1 (СЗ) (2)'!I14*'Э1 (СЗ) (2)'!I15+'Э2 (СЗ) (2)'!I14*'Э2 (СЗ) (2)'!I15+'Э3 (СЗ) (2)'!I14*'Э3 (СЗ) (2)'!I15+'Э4 (СЗ) (2)'!I14*'Э4 (СЗ) (2)'!I15)/I10,"")</f>
        <v>62.633674166613268</v>
      </c>
      <c r="J9" s="172">
        <f>IFERROR(('Э1 (СЗ) (2)'!J14*'Э1 (СЗ) (2)'!J15+'Э2 (СЗ) (2)'!J14*'Э2 (СЗ) (2)'!J15+'Э3 (СЗ) (2)'!J14*'Э3 (СЗ) (2)'!J15+'Э4 (СЗ) (2)'!J14*'Э4 (СЗ) (2)'!J15)/J10,"")</f>
        <v>62.649179446587276</v>
      </c>
      <c r="K9" s="172">
        <f>IFERROR(('Э1 (СЗ) (2)'!K14*'Э1 (СЗ) (2)'!K15+'Э2 (СЗ) (2)'!K14*'Э2 (СЗ) (2)'!K15+'Э3 (СЗ) (2)'!K14*'Э3 (СЗ) (2)'!K15+'Э4 (СЗ) (2)'!K14*'Э4 (СЗ) (2)'!K15)/K10,"")</f>
        <v>64.058785984135497</v>
      </c>
      <c r="L9" s="172">
        <f>IFERROR(('Э1 (СЗ) (2)'!L14*'Э1 (СЗ) (2)'!L15+'Э2 (СЗ) (2)'!L14*'Э2 (СЗ) (2)'!L15+'Э3 (СЗ) (2)'!L14*'Э3 (СЗ) (2)'!L15+'Э4 (СЗ) (2)'!L14*'Э4 (СЗ) (2)'!L15)/L10,"")</f>
        <v>64.085214798456533</v>
      </c>
      <c r="M9" s="172">
        <f>IFERROR(('Э1 (СЗ) (2)'!M14*'Э1 (СЗ) (2)'!M15+'Э2 (СЗ) (2)'!M14*'Э2 (СЗ) (2)'!M15+'Э3 (СЗ) (2)'!M14*'Э3 (СЗ) (2)'!M15+'Э4 (СЗ) (2)'!M14*'Э4 (СЗ) (2)'!M15)/M10,"")</f>
        <v>65.359738917666306</v>
      </c>
      <c r="N9" s="172">
        <f>IFERROR(('Э1 (СЗ) (2)'!N14*'Э1 (СЗ) (2)'!N15+'Э2 (СЗ) (2)'!N14*'Э2 (СЗ) (2)'!N15+'Э3 (СЗ) (2)'!N14*'Э3 (СЗ) (2)'!N15+'Э4 (СЗ) (2)'!N14*'Э4 (СЗ) (2)'!N15)/N10,"")</f>
        <v>65.309178462967097</v>
      </c>
      <c r="O9" s="172">
        <f>IFERROR(('Э1 (СЗ) (2)'!O14*'Э1 (СЗ) (2)'!O15+'Э2 (СЗ) (2)'!O14*'Э2 (СЗ) (2)'!O15+'Э3 (СЗ) (2)'!O14*'Э3 (СЗ) (2)'!O15+'Э4 (СЗ) (2)'!O14*'Э4 (СЗ) (2)'!O15)/O10,"")</f>
        <v>66.523750562836312</v>
      </c>
      <c r="P9" s="172">
        <f>IFERROR(('Э1 (СЗ) (2)'!P14*'Э1 (СЗ) (2)'!P15+'Э2 (СЗ) (2)'!P14*'Э2 (СЗ) (2)'!P15+'Э3 (СЗ) (2)'!P14*'Э3 (СЗ) (2)'!P15+'Э4 (СЗ) (2)'!P14*'Э4 (СЗ) (2)'!P15)/P10,"")</f>
        <v>67.761827268719358</v>
      </c>
      <c r="Q9" s="172">
        <f>IFERROR(('Э1 (СЗ) (2)'!Q14*'Э1 (СЗ) (2)'!Q15+'Э2 (СЗ) (2)'!Q14*'Э2 (СЗ) (2)'!Q15+'Э3 (СЗ) (2)'!Q14*'Э3 (СЗ) (2)'!Q15+'Э4 (СЗ) (2)'!Q14*'Э4 (СЗ) (2)'!Q15)/Q10,"")</f>
        <v>67.820442694910653</v>
      </c>
      <c r="R9" s="172">
        <f>IFERROR(('Э1 (СЗ) (2)'!R14*'Э1 (СЗ) (2)'!R15+'Э2 (СЗ) (2)'!R14*'Э2 (СЗ) (2)'!R15+'Э3 (СЗ) (2)'!R14*'Э3 (СЗ) (2)'!R15+'Э4 (СЗ) (2)'!R14*'Э4 (СЗ) (2)'!R15)/R10,"")</f>
        <v>69.001459079838455</v>
      </c>
      <c r="S9" s="172">
        <f>IFERROR(('Э1 (СЗ) (2)'!S14*'Э1 (СЗ) (2)'!S15+'Э2 (СЗ) (2)'!S14*'Э2 (СЗ) (2)'!S15+'Э3 (СЗ) (2)'!S14*'Э3 (СЗ) (2)'!S15+'Э4 (СЗ) (2)'!S14*'Э4 (СЗ) (2)'!S15)/S10,"")</f>
        <v>68.988715141537128</v>
      </c>
      <c r="T9" s="172">
        <f>IFERROR(('Э1 (СЗ) (2)'!T14*'Э1 (СЗ) (2)'!T15+'Э2 (СЗ) (2)'!T14*'Э2 (СЗ) (2)'!T15+'Э3 (СЗ) (2)'!T14*'Э3 (СЗ) (2)'!T15+'Э4 (СЗ) (2)'!T14*'Э4 (СЗ) (2)'!T15)/T10,"")</f>
        <v>70.023545868660179</v>
      </c>
      <c r="U9" s="172">
        <f>IFERROR(('Э1 (СЗ) (2)'!U14*'Э1 (СЗ) (2)'!U15+'Э2 (СЗ) (2)'!U14*'Э2 (СЗ) (2)'!U15+'Э3 (СЗ) (2)'!U14*'Э3 (СЗ) (2)'!U15+'Э4 (СЗ) (2)'!U14*'Э4 (СЗ) (2)'!U15)/U10,"")</f>
        <v>70.015785498346318</v>
      </c>
      <c r="V9" s="172">
        <f>IFERROR(('Э1 (СЗ) (2)'!V14*'Э1 (СЗ) (2)'!V15+'Э2 (СЗ) (2)'!V14*'Э2 (СЗ) (2)'!V15+'Э3 (СЗ) (2)'!V14*'Э3 (СЗ) (2)'!V15+'Э4 (СЗ) (2)'!V14*'Э4 (СЗ) (2)'!V15)/V10,"")</f>
        <v>71.0660222808215</v>
      </c>
      <c r="W9" s="35">
        <f>V9*(1+'ИДиР (2)'!$B$26/4)</f>
        <v>72.66500778213998</v>
      </c>
      <c r="X9" s="35">
        <f>W9*(1+'ИДиР (2)'!$B$26/4)</f>
        <v>74.299970457238132</v>
      </c>
      <c r="Y9" s="35">
        <f>X9*(1+'ИДиР (2)'!$B$26/4)</f>
        <v>75.971719792525988</v>
      </c>
      <c r="Z9" s="35">
        <f>Y9*(1+'ИДиР (2)'!$B$26/4)</f>
        <v>77.681083487857819</v>
      </c>
    </row>
    <row r="10" spans="1:26" x14ac:dyDescent="0.2">
      <c r="A10" s="36" t="s">
        <v>158</v>
      </c>
      <c r="B10" s="174">
        <f t="shared" ref="B10:B15" si="0">SUM(C10:Z10)</f>
        <v>45382.5</v>
      </c>
      <c r="C10" s="38">
        <f>'Э1 (СЗ) (2)'!C15+'Э2 (СЗ) (2)'!C15+'Э3 (СЗ) (2)'!C15+'Э4 (СЗ) (2)'!C15</f>
        <v>0</v>
      </c>
      <c r="D10" s="38">
        <f>'Э1 (СЗ) (2)'!D15+'Э2 (СЗ) (2)'!D15+'Э3 (СЗ) (2)'!D15+'Э4 (СЗ) (2)'!D15</f>
        <v>0</v>
      </c>
      <c r="E10" s="38">
        <f>'Э1 (СЗ) (2)'!E15+'Э2 (СЗ) (2)'!E15+'Э3 (СЗ) (2)'!E15+'Э4 (СЗ) (2)'!E15</f>
        <v>0</v>
      </c>
      <c r="F10" s="38">
        <f>'Э1 (СЗ) (2)'!F15+'Э2 (СЗ) (2)'!F15+'Э3 (СЗ) (2)'!F15+'Э4 (СЗ) (2)'!F15</f>
        <v>0</v>
      </c>
      <c r="G10" s="38">
        <f>'Э1 (СЗ) (2)'!G15+'Э2 (СЗ) (2)'!G15+'Э3 (СЗ) (2)'!G15+'Э4 (СЗ) (2)'!G15</f>
        <v>0</v>
      </c>
      <c r="H10" s="38">
        <f>'Э1 (СЗ) (2)'!H15+'Э2 (СЗ) (2)'!H15+'Э3 (СЗ) (2)'!H15+'Э4 (СЗ) (2)'!H15</f>
        <v>1260.625</v>
      </c>
      <c r="I10" s="38">
        <f>'Э1 (СЗ) (2)'!I15+'Э2 (СЗ) (2)'!I15+'Э3 (СЗ) (2)'!I15+'Э4 (СЗ) (2)'!I15</f>
        <v>1260.625</v>
      </c>
      <c r="J10" s="38">
        <f>'Э1 (СЗ) (2)'!J15+'Э2 (СЗ) (2)'!J15+'Э3 (СЗ) (2)'!J15+'Э4 (СЗ) (2)'!J15</f>
        <v>2521.25</v>
      </c>
      <c r="K10" s="38">
        <f>'Э1 (СЗ) (2)'!K15+'Э2 (СЗ) (2)'!K15+'Э3 (СЗ) (2)'!K15+'Э4 (СЗ) (2)'!K15</f>
        <v>2521.25</v>
      </c>
      <c r="L10" s="38">
        <f>'Э1 (СЗ) (2)'!L15+'Э2 (СЗ) (2)'!L15+'Э3 (СЗ) (2)'!L15+'Э4 (СЗ) (2)'!L15</f>
        <v>3781.875</v>
      </c>
      <c r="M10" s="38">
        <f>'Э1 (СЗ) (2)'!M15+'Э2 (СЗ) (2)'!M15+'Э3 (СЗ) (2)'!M15+'Э4 (СЗ) (2)'!M15</f>
        <v>3781.875</v>
      </c>
      <c r="N10" s="38">
        <f>'Э1 (СЗ) (2)'!N15+'Э2 (СЗ) (2)'!N15+'Э3 (СЗ) (2)'!N15+'Э4 (СЗ) (2)'!N15</f>
        <v>5042.5</v>
      </c>
      <c r="O10" s="38">
        <f>'Э1 (СЗ) (2)'!O15+'Э2 (СЗ) (2)'!O15+'Э3 (СЗ) (2)'!O15+'Э4 (СЗ) (2)'!O15</f>
        <v>5042.5</v>
      </c>
      <c r="P10" s="38">
        <f>'Э1 (СЗ) (2)'!P15+'Э2 (СЗ) (2)'!P15+'Э3 (СЗ) (2)'!P15+'Э4 (СЗ) (2)'!P15</f>
        <v>5042.5</v>
      </c>
      <c r="Q10" s="38">
        <f>'Э1 (СЗ) (2)'!Q15+'Э2 (СЗ) (2)'!Q15+'Э3 (СЗ) (2)'!Q15+'Э4 (СЗ) (2)'!Q15</f>
        <v>3781.875</v>
      </c>
      <c r="R10" s="38">
        <f>'Э1 (СЗ) (2)'!R15+'Э2 (СЗ) (2)'!R15+'Э3 (СЗ) (2)'!R15+'Э4 (СЗ) (2)'!R15</f>
        <v>3781.875</v>
      </c>
      <c r="S10" s="38">
        <f>'Э1 (СЗ) (2)'!S15+'Э2 (СЗ) (2)'!S15+'Э3 (СЗ) (2)'!S15+'Э4 (СЗ) (2)'!S15</f>
        <v>2521.25</v>
      </c>
      <c r="T10" s="38">
        <f>'Э1 (СЗ) (2)'!T15+'Э2 (СЗ) (2)'!T15+'Э3 (СЗ) (2)'!T15+'Э4 (СЗ) (2)'!T15</f>
        <v>2521.25</v>
      </c>
      <c r="U10" s="38">
        <f>'Э1 (СЗ) (2)'!U15+'Э2 (СЗ) (2)'!U15+'Э3 (СЗ) (2)'!U15+'Э4 (СЗ) (2)'!U15</f>
        <v>1260.625</v>
      </c>
      <c r="V10" s="38">
        <f>'Э1 (СЗ) (2)'!V15+'Э2 (СЗ) (2)'!V15+'Э3 (СЗ) (2)'!V15+'Э4 (СЗ) (2)'!V15</f>
        <v>1260.625</v>
      </c>
      <c r="W10" s="35"/>
      <c r="X10" s="35"/>
      <c r="Y10" s="35"/>
      <c r="Z10" s="35"/>
    </row>
    <row r="11" spans="1:26" s="44" customFormat="1" x14ac:dyDescent="0.2">
      <c r="A11" s="43" t="s">
        <v>12</v>
      </c>
      <c r="B11" s="49">
        <f t="shared" si="0"/>
        <v>3108188.4535692297</v>
      </c>
      <c r="C11" s="49">
        <f t="shared" ref="C11:Z11" si="1">SUM(C12:C15)</f>
        <v>0</v>
      </c>
      <c r="D11" s="49">
        <f t="shared" si="1"/>
        <v>0</v>
      </c>
      <c r="E11" s="49">
        <f t="shared" si="1"/>
        <v>0</v>
      </c>
      <c r="F11" s="49">
        <f t="shared" si="1"/>
        <v>10831.391539743354</v>
      </c>
      <c r="G11" s="49">
        <f t="shared" si="1"/>
        <v>10831.391539743354</v>
      </c>
      <c r="H11" s="49">
        <f t="shared" si="1"/>
        <v>88387.79859949823</v>
      </c>
      <c r="I11" s="49">
        <f t="shared" si="1"/>
        <v>90125.251361030212</v>
      </c>
      <c r="J11" s="49">
        <f t="shared" si="1"/>
        <v>169468.29239920151</v>
      </c>
      <c r="K11" s="49">
        <f t="shared" si="1"/>
        <v>173022.26288199498</v>
      </c>
      <c r="L11" s="49">
        <f t="shared" si="1"/>
        <v>254233.08447579862</v>
      </c>
      <c r="M11" s="49">
        <f t="shared" si="1"/>
        <v>259053.17537913512</v>
      </c>
      <c r="N11" s="49">
        <f t="shared" si="1"/>
        <v>329321.53239951161</v>
      </c>
      <c r="O11" s="49">
        <f t="shared" si="1"/>
        <v>335446.01221310208</v>
      </c>
      <c r="P11" s="49">
        <f t="shared" si="1"/>
        <v>341689.01400251733</v>
      </c>
      <c r="Q11" s="49">
        <f t="shared" si="1"/>
        <v>256488.43671681522</v>
      </c>
      <c r="R11" s="49">
        <f t="shared" si="1"/>
        <v>260954.89305756404</v>
      </c>
      <c r="S11" s="49">
        <f t="shared" si="1"/>
        <v>173937.79805060048</v>
      </c>
      <c r="T11" s="49">
        <f t="shared" si="1"/>
        <v>176546.86502135947</v>
      </c>
      <c r="U11" s="49">
        <f t="shared" si="1"/>
        <v>88263.649593852824</v>
      </c>
      <c r="V11" s="49">
        <f t="shared" si="1"/>
        <v>89587.604337760597</v>
      </c>
      <c r="W11" s="49">
        <f t="shared" si="1"/>
        <v>0</v>
      </c>
      <c r="X11" s="49">
        <f t="shared" si="1"/>
        <v>0</v>
      </c>
      <c r="Y11" s="49">
        <f t="shared" si="1"/>
        <v>0</v>
      </c>
      <c r="Z11" s="49">
        <f t="shared" si="1"/>
        <v>0</v>
      </c>
    </row>
    <row r="12" spans="1:26" x14ac:dyDescent="0.2">
      <c r="A12" s="9" t="s">
        <v>44</v>
      </c>
      <c r="B12" s="4">
        <f t="shared" si="0"/>
        <v>3017420.5958014978</v>
      </c>
      <c r="C12" s="38">
        <f>'Э1 (СЗ) (2)'!C17+'Э2 (СЗ) (2)'!C17+'Э3 (СЗ) (2)'!C17+'Э4 (СЗ) (2)'!C17</f>
        <v>0</v>
      </c>
      <c r="D12" s="38">
        <f>'Э1 (СЗ) (2)'!D17+'Э2 (СЗ) (2)'!D17+'Э3 (СЗ) (2)'!D17+'Э4 (СЗ) (2)'!D17</f>
        <v>0</v>
      </c>
      <c r="E12" s="38">
        <f>'Э1 (СЗ) (2)'!E17+'Э2 (СЗ) (2)'!E17+'Э3 (СЗ) (2)'!E17+'Э4 (СЗ) (2)'!E17</f>
        <v>0</v>
      </c>
      <c r="F12" s="38">
        <f>'Э1 (СЗ) (2)'!F17+'Э2 (СЗ) (2)'!F17+'Э3 (СЗ) (2)'!F17+'Э4 (СЗ) (2)'!F17</f>
        <v>0</v>
      </c>
      <c r="G12" s="38">
        <f>'Э1 (СЗ) (2)'!G17+'Э2 (СЗ) (2)'!G17+'Э3 (СЗ) (2)'!G17+'Э4 (СЗ) (2)'!G17</f>
        <v>0</v>
      </c>
      <c r="H12" s="38">
        <f>'Э1 (СЗ) (2)'!H17+'Э2 (СЗ) (2)'!H17+'Э3 (СЗ) (2)'!H17+'Э4 (СЗ) (2)'!H17</f>
        <v>77220.12273475487</v>
      </c>
      <c r="I12" s="38">
        <f>'Э1 (СЗ) (2)'!I17+'Э2 (СЗ) (2)'!I17+'Э3 (СЗ) (2)'!I17+'Э4 (СЗ) (2)'!I17</f>
        <v>78957.575496286852</v>
      </c>
      <c r="J12" s="38">
        <f>'Э1 (СЗ) (2)'!J17+'Э2 (СЗ) (2)'!J17+'Э3 (СЗ) (2)'!J17+'Э4 (СЗ) (2)'!J17</f>
        <v>157954.24367970816</v>
      </c>
      <c r="K12" s="38">
        <f>'Э1 (СЗ) (2)'!K17+'Э2 (СЗ) (2)'!K17+'Э3 (СЗ) (2)'!K17+'Э4 (СЗ) (2)'!K17</f>
        <v>161508.21416250162</v>
      </c>
      <c r="L12" s="38">
        <f>'Э1 (СЗ) (2)'!L17+'Э2 (СЗ) (2)'!L17+'Э3 (СЗ) (2)'!L17+'Э4 (СЗ) (2)'!L17</f>
        <v>242362.27171591276</v>
      </c>
      <c r="M12" s="38">
        <f>'Э1 (СЗ) (2)'!M17+'Э2 (СЗ) (2)'!M17+'Э3 (СЗ) (2)'!M17+'Э4 (СЗ) (2)'!M17</f>
        <v>247182.36261924927</v>
      </c>
      <c r="N12" s="38">
        <f>'Э1 (СЗ) (2)'!N17+'Э2 (СЗ) (2)'!N17+'Э3 (СЗ) (2)'!N17+'Э4 (СЗ) (2)'!N17</f>
        <v>329321.53239951161</v>
      </c>
      <c r="O12" s="38">
        <f>'Э1 (СЗ) (2)'!O17+'Э2 (СЗ) (2)'!O17+'Э3 (СЗ) (2)'!O17+'Э4 (СЗ) (2)'!O17</f>
        <v>335446.01221310208</v>
      </c>
      <c r="P12" s="38">
        <f>'Э1 (СЗ) (2)'!P17+'Э2 (СЗ) (2)'!P17+'Э3 (СЗ) (2)'!P17+'Э4 (СЗ) (2)'!P17</f>
        <v>341689.01400251733</v>
      </c>
      <c r="Q12" s="38">
        <f>'Э1 (СЗ) (2)'!Q17+'Э2 (СЗ) (2)'!Q17+'Э3 (СЗ) (2)'!Q17+'Э4 (СЗ) (2)'!Q17</f>
        <v>256488.43671681522</v>
      </c>
      <c r="R12" s="38">
        <f>'Э1 (СЗ) (2)'!R17+'Э2 (СЗ) (2)'!R17+'Э3 (СЗ) (2)'!R17+'Э4 (СЗ) (2)'!R17</f>
        <v>260954.89305756404</v>
      </c>
      <c r="S12" s="38">
        <f>'Э1 (СЗ) (2)'!S17+'Э2 (СЗ) (2)'!S17+'Э3 (СЗ) (2)'!S17+'Э4 (СЗ) (2)'!S17</f>
        <v>173937.79805060048</v>
      </c>
      <c r="T12" s="38">
        <f>'Э1 (СЗ) (2)'!T17+'Э2 (СЗ) (2)'!T17+'Э3 (СЗ) (2)'!T17+'Э4 (СЗ) (2)'!T17</f>
        <v>176546.86502135947</v>
      </c>
      <c r="U12" s="38">
        <f>'Э1 (СЗ) (2)'!U17+'Э2 (СЗ) (2)'!U17+'Э3 (СЗ) (2)'!U17+'Э4 (СЗ) (2)'!U17</f>
        <v>88263.649593852824</v>
      </c>
      <c r="V12" s="38">
        <f>'Э1 (СЗ) (2)'!V17+'Э2 (СЗ) (2)'!V17+'Э3 (СЗ) (2)'!V17+'Э4 (СЗ) (2)'!V17</f>
        <v>89587.604337760597</v>
      </c>
      <c r="W12" s="38">
        <f>'Э1 (СЗ) (2)'!W17+'Э2 (СЗ) (2)'!W17+'Э3 (СЗ) (2)'!W17+'Э4 (СЗ) (2)'!W17</f>
        <v>0</v>
      </c>
      <c r="X12" s="38">
        <f>'Э1 (СЗ) (2)'!X17+'Э2 (СЗ) (2)'!X17+'Э3 (СЗ) (2)'!X17+'Э4 (СЗ) (2)'!X17</f>
        <v>0</v>
      </c>
      <c r="Y12" s="38">
        <f>'Э1 (СЗ) (2)'!Y17+'Э2 (СЗ) (2)'!Y17+'Э3 (СЗ) (2)'!Y17+'Э4 (СЗ) (2)'!Y17</f>
        <v>0</v>
      </c>
      <c r="Z12" s="38">
        <f>'Э1 (СЗ) (2)'!Z17+'Э2 (СЗ) (2)'!Z17+'Э3 (СЗ) (2)'!Z17+'Э4 (СЗ) (2)'!Z17</f>
        <v>0</v>
      </c>
    </row>
    <row r="13" spans="1:26" x14ac:dyDescent="0.2">
      <c r="A13" s="9" t="s">
        <v>39</v>
      </c>
      <c r="B13" s="4">
        <f t="shared" si="0"/>
        <v>0</v>
      </c>
      <c r="C13" s="39">
        <f>'Э1 (СЗ) (2)'!C18+'Э2 (СЗ) (2)'!C18+'Э3 (СЗ) (2)'!C18+'Э4 (СЗ) (2)'!C18</f>
        <v>0</v>
      </c>
      <c r="D13" s="39">
        <f>'Э1 (СЗ) (2)'!D18+'Э2 (СЗ) (2)'!D18+'Э3 (СЗ) (2)'!D18+'Э4 (СЗ) (2)'!D18</f>
        <v>0</v>
      </c>
      <c r="E13" s="39">
        <f>'Э1 (СЗ) (2)'!E18+'Э2 (СЗ) (2)'!E18+'Э3 (СЗ) (2)'!E18+'Э4 (СЗ) (2)'!E18</f>
        <v>0</v>
      </c>
      <c r="F13" s="39">
        <f>'Э1 (СЗ) (2)'!F18+'Э2 (СЗ) (2)'!F18+'Э3 (СЗ) (2)'!F18+'Э4 (СЗ) (2)'!F18</f>
        <v>0</v>
      </c>
      <c r="G13" s="39">
        <f>'Э1 (СЗ) (2)'!G18+'Э2 (СЗ) (2)'!G18+'Э3 (СЗ) (2)'!G18+'Э4 (СЗ) (2)'!G18</f>
        <v>0</v>
      </c>
      <c r="H13" s="39">
        <f>'Э1 (СЗ) (2)'!H18+'Э2 (СЗ) (2)'!H18+'Э3 (СЗ) (2)'!H18+'Э4 (СЗ) (2)'!H18</f>
        <v>0</v>
      </c>
      <c r="I13" s="39">
        <f>'Э1 (СЗ) (2)'!I18+'Э2 (СЗ) (2)'!I18+'Э3 (СЗ) (2)'!I18+'Э4 (СЗ) (2)'!I18</f>
        <v>0</v>
      </c>
      <c r="J13" s="39">
        <f>'Э1 (СЗ) (2)'!J18+'Э2 (СЗ) (2)'!J18+'Э3 (СЗ) (2)'!J18+'Э4 (СЗ) (2)'!J18</f>
        <v>0</v>
      </c>
      <c r="K13" s="39">
        <f>'Э1 (СЗ) (2)'!K18+'Э2 (СЗ) (2)'!K18+'Э3 (СЗ) (2)'!K18+'Э4 (СЗ) (2)'!K18</f>
        <v>0</v>
      </c>
      <c r="L13" s="39">
        <f>'Э1 (СЗ) (2)'!L18+'Э2 (СЗ) (2)'!L18+'Э3 (СЗ) (2)'!L18+'Э4 (СЗ) (2)'!L18</f>
        <v>0</v>
      </c>
      <c r="M13" s="39">
        <f>'Э1 (СЗ) (2)'!M18+'Э2 (СЗ) (2)'!M18+'Э3 (СЗ) (2)'!M18+'Э4 (СЗ) (2)'!M18</f>
        <v>0</v>
      </c>
      <c r="N13" s="39">
        <f>'Э1 (СЗ) (2)'!N18+'Э2 (СЗ) (2)'!N18+'Э3 (СЗ) (2)'!N18+'Э4 (СЗ) (2)'!N18</f>
        <v>0</v>
      </c>
      <c r="O13" s="39">
        <f>'Э1 (СЗ) (2)'!O18+'Э2 (СЗ) (2)'!O18+'Э3 (СЗ) (2)'!O18+'Э4 (СЗ) (2)'!O18</f>
        <v>0</v>
      </c>
      <c r="P13" s="39">
        <f>'Э1 (СЗ) (2)'!P18+'Э2 (СЗ) (2)'!P18+'Э3 (СЗ) (2)'!P18+'Э4 (СЗ) (2)'!P18</f>
        <v>0</v>
      </c>
      <c r="Q13" s="39">
        <f>'Э1 (СЗ) (2)'!Q18+'Э2 (СЗ) (2)'!Q18+'Э3 (СЗ) (2)'!Q18+'Э4 (СЗ) (2)'!Q18</f>
        <v>0</v>
      </c>
      <c r="R13" s="39">
        <f>'Э1 (СЗ) (2)'!R18+'Э2 (СЗ) (2)'!R18+'Э3 (СЗ) (2)'!R18+'Э4 (СЗ) (2)'!R18</f>
        <v>0</v>
      </c>
      <c r="S13" s="39">
        <f>'Э1 (СЗ) (2)'!S18+'Э2 (СЗ) (2)'!S18+'Э3 (СЗ) (2)'!S18+'Э4 (СЗ) (2)'!S18</f>
        <v>0</v>
      </c>
      <c r="T13" s="39">
        <f>'Э1 (СЗ) (2)'!T18+'Э2 (СЗ) (2)'!T18+'Э3 (СЗ) (2)'!T18+'Э4 (СЗ) (2)'!T18</f>
        <v>0</v>
      </c>
      <c r="U13" s="39">
        <f>'Э1 (СЗ) (2)'!U18+'Э2 (СЗ) (2)'!U18+'Э3 (СЗ) (2)'!U18+'Э4 (СЗ) (2)'!U18</f>
        <v>0</v>
      </c>
      <c r="V13" s="39">
        <f>'Э1 (СЗ) (2)'!V18+'Э2 (СЗ) (2)'!V18+'Э3 (СЗ) (2)'!V18+'Э4 (СЗ) (2)'!V18</f>
        <v>0</v>
      </c>
      <c r="W13" s="39">
        <f>'Э1 (СЗ) (2)'!W18+'Э2 (СЗ) (2)'!W18+'Э3 (СЗ) (2)'!W18+'Э4 (СЗ) (2)'!W18</f>
        <v>0</v>
      </c>
      <c r="X13" s="39">
        <f>'Э1 (СЗ) (2)'!X18+'Э2 (СЗ) (2)'!X18+'Э3 (СЗ) (2)'!X18+'Э4 (СЗ) (2)'!X18</f>
        <v>0</v>
      </c>
      <c r="Y13" s="39">
        <f>'Э1 (СЗ) (2)'!Y18+'Э2 (СЗ) (2)'!Y18+'Э3 (СЗ) (2)'!Y18+'Э4 (СЗ) (2)'!Y18</f>
        <v>0</v>
      </c>
      <c r="Z13" s="39">
        <f>'Э1 (СЗ) (2)'!Z18+'Э2 (СЗ) (2)'!Z18+'Э3 (СЗ) (2)'!Z18+'Э4 (СЗ) (2)'!Z18</f>
        <v>0</v>
      </c>
    </row>
    <row r="14" spans="1:26" x14ac:dyDescent="0.2">
      <c r="A14" s="9" t="s">
        <v>20</v>
      </c>
      <c r="B14" s="4">
        <f t="shared" si="0"/>
        <v>45675.287839950586</v>
      </c>
      <c r="C14" s="38">
        <f>'Э1 (СЗ) (2)'!C19+'Э2 (СЗ) (2)'!C19+'Э3 (СЗ) (2)'!C19+'Э4 (СЗ) (2)'!C19</f>
        <v>0</v>
      </c>
      <c r="D14" s="38">
        <f>'Э1 (СЗ) (2)'!D19+'Э2 (СЗ) (2)'!D19+'Э3 (СЗ) (2)'!D19+'Э4 (СЗ) (2)'!D19</f>
        <v>0</v>
      </c>
      <c r="E14" s="38">
        <f>'Э1 (СЗ) (2)'!E19+'Э2 (СЗ) (2)'!E19+'Э3 (СЗ) (2)'!E19+'Э4 (СЗ) (2)'!E19</f>
        <v>0</v>
      </c>
      <c r="F14" s="38">
        <f>'Э1 (СЗ) (2)'!F19+'Э2 (СЗ) (2)'!F19+'Э3 (СЗ) (2)'!F19+'Э4 (СЗ) (2)'!F19</f>
        <v>5442.2196647433539</v>
      </c>
      <c r="G14" s="38">
        <f>'Э1 (СЗ) (2)'!G19+'Э2 (СЗ) (2)'!G19+'Э3 (СЗ) (2)'!G19+'Э4 (СЗ) (2)'!G19</f>
        <v>5442.2196647433539</v>
      </c>
      <c r="H14" s="38">
        <f>'Э1 (СЗ) (2)'!H19+'Э2 (СЗ) (2)'!H19+'Э3 (СЗ) (2)'!H19+'Э4 (СЗ) (2)'!H19</f>
        <v>5616.8288334933541</v>
      </c>
      <c r="I14" s="38">
        <f>'Э1 (СЗ) (2)'!I19+'Э2 (СЗ) (2)'!I19+'Э3 (СЗ) (2)'!I19+'Э4 (СЗ) (2)'!I19</f>
        <v>5616.8288334933541</v>
      </c>
      <c r="J14" s="38">
        <f>'Э1 (СЗ) (2)'!J19+'Э2 (СЗ) (2)'!J19+'Э3 (СЗ) (2)'!J19+'Э4 (СЗ) (2)'!J19</f>
        <v>5796.6762773058554</v>
      </c>
      <c r="K14" s="38">
        <f>'Э1 (СЗ) (2)'!K19+'Э2 (СЗ) (2)'!K19+'Э3 (СЗ) (2)'!K19+'Э4 (СЗ) (2)'!K19</f>
        <v>5796.6762773058554</v>
      </c>
      <c r="L14" s="38">
        <f>'Э1 (СЗ) (2)'!L19+'Э2 (СЗ) (2)'!L19+'Э3 (СЗ) (2)'!L19+'Э4 (СЗ) (2)'!L19</f>
        <v>5981.9191444327298</v>
      </c>
      <c r="M14" s="38">
        <f>'Э1 (СЗ) (2)'!M19+'Э2 (СЗ) (2)'!M19+'Э3 (СЗ) (2)'!M19+'Э4 (СЗ) (2)'!M19</f>
        <v>5981.9191444327298</v>
      </c>
      <c r="N14" s="38">
        <f>'Э1 (СЗ) (2)'!N19+'Э2 (СЗ) (2)'!N19+'Э3 (СЗ) (2)'!N19+'Э4 (СЗ) (2)'!N19</f>
        <v>0</v>
      </c>
      <c r="O14" s="38">
        <f>'Э1 (СЗ) (2)'!O19+'Э2 (СЗ) (2)'!O19+'Э3 (СЗ) (2)'!O19+'Э4 (СЗ) (2)'!O19</f>
        <v>0</v>
      </c>
      <c r="P14" s="38">
        <f>'Э1 (СЗ) (2)'!P19+'Э2 (СЗ) (2)'!P19+'Э3 (СЗ) (2)'!P19+'Э4 (СЗ) (2)'!P19</f>
        <v>0</v>
      </c>
      <c r="Q14" s="38">
        <f>'Э1 (СЗ) (2)'!Q19+'Э2 (СЗ) (2)'!Q19+'Э3 (СЗ) (2)'!Q19+'Э4 (СЗ) (2)'!Q19</f>
        <v>0</v>
      </c>
      <c r="R14" s="38">
        <f>'Э1 (СЗ) (2)'!R19+'Э2 (СЗ) (2)'!R19+'Э3 (СЗ) (2)'!R19+'Э4 (СЗ) (2)'!R19</f>
        <v>0</v>
      </c>
      <c r="S14" s="38">
        <f>'Э1 (СЗ) (2)'!S19+'Э2 (СЗ) (2)'!S19+'Э3 (СЗ) (2)'!S19+'Э4 (СЗ) (2)'!S19</f>
        <v>0</v>
      </c>
      <c r="T14" s="38">
        <f>'Э1 (СЗ) (2)'!T19+'Э2 (СЗ) (2)'!T19+'Э3 (СЗ) (2)'!T19+'Э4 (СЗ) (2)'!T19</f>
        <v>0</v>
      </c>
      <c r="U14" s="38">
        <f>'Э1 (СЗ) (2)'!U19+'Э2 (СЗ) (2)'!U19+'Э3 (СЗ) (2)'!U19+'Э4 (СЗ) (2)'!U19</f>
        <v>0</v>
      </c>
      <c r="V14" s="38">
        <f>'Э1 (СЗ) (2)'!V19+'Э2 (СЗ) (2)'!V19+'Э3 (СЗ) (2)'!V19+'Э4 (СЗ) (2)'!V19</f>
        <v>0</v>
      </c>
      <c r="W14" s="38">
        <f>'Э1 (СЗ) (2)'!W19+'Э2 (СЗ) (2)'!W19+'Э3 (СЗ) (2)'!W19+'Э4 (СЗ) (2)'!W19</f>
        <v>0</v>
      </c>
      <c r="X14" s="38">
        <f>'Э1 (СЗ) (2)'!X19+'Э2 (СЗ) (2)'!X19+'Э3 (СЗ) (2)'!X19+'Э4 (СЗ) (2)'!X19</f>
        <v>0</v>
      </c>
      <c r="Y14" s="38">
        <f>'Э1 (СЗ) (2)'!Y19+'Э2 (СЗ) (2)'!Y19+'Э3 (СЗ) (2)'!Y19+'Э4 (СЗ) (2)'!Y19</f>
        <v>0</v>
      </c>
      <c r="Z14" s="38">
        <f>'Э1 (СЗ) (2)'!Z19+'Э2 (СЗ) (2)'!Z19+'Э3 (СЗ) (2)'!Z19+'Э4 (СЗ) (2)'!Z19</f>
        <v>0</v>
      </c>
    </row>
    <row r="15" spans="1:26" x14ac:dyDescent="0.2">
      <c r="A15" s="9" t="s">
        <v>21</v>
      </c>
      <c r="B15" s="4">
        <f t="shared" si="0"/>
        <v>45092.569927781253</v>
      </c>
      <c r="C15" s="38">
        <f>'Э1 (СЗ) (2)'!C20+'Э2 (СЗ) (2)'!C20+'Э3 (СЗ) (2)'!C20+'Э4 (СЗ) (2)'!C20</f>
        <v>0</v>
      </c>
      <c r="D15" s="38">
        <f>'Э1 (СЗ) (2)'!D20+'Э2 (СЗ) (2)'!D20+'Э3 (СЗ) (2)'!D20+'Э4 (СЗ) (2)'!D20</f>
        <v>0</v>
      </c>
      <c r="E15" s="38">
        <f>'Э1 (СЗ) (2)'!E20+'Э2 (СЗ) (2)'!E20+'Э3 (СЗ) (2)'!E20+'Э4 (СЗ) (2)'!E20</f>
        <v>0</v>
      </c>
      <c r="F15" s="38">
        <f>'Э1 (СЗ) (2)'!F20+'Э2 (СЗ) (2)'!F20+'Э3 (СЗ) (2)'!F20+'Э4 (СЗ) (2)'!F20</f>
        <v>5389.171875</v>
      </c>
      <c r="G15" s="38">
        <f>'Э1 (СЗ) (2)'!G20+'Э2 (СЗ) (2)'!G20+'Э3 (СЗ) (2)'!G20+'Э4 (СЗ) (2)'!G20</f>
        <v>5389.171875</v>
      </c>
      <c r="H15" s="38">
        <f>'Э1 (СЗ) (2)'!H20+'Э2 (СЗ) (2)'!H20+'Э3 (СЗ) (2)'!H20+'Э4 (СЗ) (2)'!H20</f>
        <v>5550.8470312500003</v>
      </c>
      <c r="I15" s="38">
        <f>'Э1 (СЗ) (2)'!I20+'Э2 (СЗ) (2)'!I20+'Э3 (СЗ) (2)'!I20+'Э4 (СЗ) (2)'!I20</f>
        <v>5550.8470312500003</v>
      </c>
      <c r="J15" s="38">
        <f>'Э1 (СЗ) (2)'!J20+'Э2 (СЗ) (2)'!J20+'Э3 (СЗ) (2)'!J20+'Э4 (СЗ) (2)'!J20</f>
        <v>5717.3724421875004</v>
      </c>
      <c r="K15" s="38">
        <f>'Э1 (СЗ) (2)'!K20+'Э2 (СЗ) (2)'!K20+'Э3 (СЗ) (2)'!K20+'Э4 (СЗ) (2)'!K20</f>
        <v>5717.3724421875004</v>
      </c>
      <c r="L15" s="38">
        <f>'Э1 (СЗ) (2)'!L20+'Э2 (СЗ) (2)'!L20+'Э3 (СЗ) (2)'!L20+'Э4 (СЗ) (2)'!L20</f>
        <v>5888.8936154531257</v>
      </c>
      <c r="M15" s="38">
        <f>'Э1 (СЗ) (2)'!M20+'Э2 (СЗ) (2)'!M20+'Э3 (СЗ) (2)'!M20+'Э4 (СЗ) (2)'!M20</f>
        <v>5888.8936154531257</v>
      </c>
      <c r="N15" s="38">
        <f>'Э1 (СЗ) (2)'!N20+'Э2 (СЗ) (2)'!N20+'Э3 (СЗ) (2)'!N20+'Э4 (СЗ) (2)'!N20</f>
        <v>0</v>
      </c>
      <c r="O15" s="38">
        <f>'Э1 (СЗ) (2)'!O20+'Э2 (СЗ) (2)'!O20+'Э3 (СЗ) (2)'!O20+'Э4 (СЗ) (2)'!O20</f>
        <v>0</v>
      </c>
      <c r="P15" s="38">
        <f>'Э1 (СЗ) (2)'!P20+'Э2 (СЗ) (2)'!P20+'Э3 (СЗ) (2)'!P20+'Э4 (СЗ) (2)'!P20</f>
        <v>0</v>
      </c>
      <c r="Q15" s="38">
        <f>'Э1 (СЗ) (2)'!Q20+'Э2 (СЗ) (2)'!Q20+'Э3 (СЗ) (2)'!Q20+'Э4 (СЗ) (2)'!Q20</f>
        <v>0</v>
      </c>
      <c r="R15" s="38">
        <f>'Э1 (СЗ) (2)'!R20+'Э2 (СЗ) (2)'!R20+'Э3 (СЗ) (2)'!R20+'Э4 (СЗ) (2)'!R20</f>
        <v>0</v>
      </c>
      <c r="S15" s="38">
        <f>'Э1 (СЗ) (2)'!S20+'Э2 (СЗ) (2)'!S20+'Э3 (СЗ) (2)'!S20+'Э4 (СЗ) (2)'!S20</f>
        <v>0</v>
      </c>
      <c r="T15" s="38">
        <f>'Э1 (СЗ) (2)'!T20+'Э2 (СЗ) (2)'!T20+'Э3 (СЗ) (2)'!T20+'Э4 (СЗ) (2)'!T20</f>
        <v>0</v>
      </c>
      <c r="U15" s="38">
        <f>'Э1 (СЗ) (2)'!U20+'Э2 (СЗ) (2)'!U20+'Э3 (СЗ) (2)'!U20+'Э4 (СЗ) (2)'!U20</f>
        <v>0</v>
      </c>
      <c r="V15" s="38">
        <f>'Э1 (СЗ) (2)'!V20+'Э2 (СЗ) (2)'!V20+'Э3 (СЗ) (2)'!V20+'Э4 (СЗ) (2)'!V20</f>
        <v>0</v>
      </c>
      <c r="W15" s="38">
        <f>'Э1 (СЗ) (2)'!W20+'Э2 (СЗ) (2)'!W20+'Э3 (СЗ) (2)'!W20+'Э4 (СЗ) (2)'!W20</f>
        <v>0</v>
      </c>
      <c r="X15" s="38">
        <f>'Э1 (СЗ) (2)'!X20+'Э2 (СЗ) (2)'!X20+'Э3 (СЗ) (2)'!X20+'Э4 (СЗ) (2)'!X20</f>
        <v>0</v>
      </c>
      <c r="Y15" s="38">
        <f>'Э1 (СЗ) (2)'!Y20+'Э2 (СЗ) (2)'!Y20+'Э3 (СЗ) (2)'!Y20+'Э4 (СЗ) (2)'!Y20</f>
        <v>0</v>
      </c>
      <c r="Z15" s="38">
        <f>'Э1 (СЗ) (2)'!Z20+'Э2 (СЗ) (2)'!Z20+'Э3 (СЗ) (2)'!Z20+'Э4 (СЗ) (2)'!Z20</f>
        <v>0</v>
      </c>
    </row>
    <row r="16" spans="1:26" s="28" customFormat="1" x14ac:dyDescent="0.2">
      <c r="A16" s="29" t="s">
        <v>22</v>
      </c>
      <c r="B16" s="65"/>
      <c r="C16" s="42">
        <f>'Э1 (СЗ) (2)'!C21+'Э2 (СЗ) (2)'!C21+'Э3 (СЗ) (2)'!C21+'Э4 (СЗ) (2)'!C21</f>
        <v>0</v>
      </c>
      <c r="D16" s="42">
        <f>'Э1 (СЗ) (2)'!D21+'Э2 (СЗ) (2)'!D21+'Э3 (СЗ) (2)'!D21+'Э4 (СЗ) (2)'!D21</f>
        <v>0</v>
      </c>
      <c r="E16" s="42">
        <f>'Э1 (СЗ) (2)'!E21+'Э2 (СЗ) (2)'!E21+'Э3 (СЗ) (2)'!E21+'Э4 (СЗ) (2)'!E21</f>
        <v>0</v>
      </c>
      <c r="F16" s="42">
        <f>'Э1 (СЗ) (2)'!F21+'Э2 (СЗ) (2)'!F21+'Э3 (СЗ) (2)'!F21+'Э4 (СЗ) (2)'!F21</f>
        <v>5389.171875</v>
      </c>
      <c r="G16" s="42">
        <f>'Э1 (СЗ) (2)'!G21+'Э2 (СЗ) (2)'!G21+'Э3 (СЗ) (2)'!G21+'Э4 (СЗ) (2)'!G21</f>
        <v>10778.34375</v>
      </c>
      <c r="H16" s="42">
        <f>'Э1 (СЗ) (2)'!H21+'Э2 (СЗ) (2)'!H21+'Э3 (СЗ) (2)'!H21+'Э4 (СЗ) (2)'!H21</f>
        <v>16329.190781249999</v>
      </c>
      <c r="I16" s="42">
        <f>'Э1 (СЗ) (2)'!I21+'Э2 (СЗ) (2)'!I21+'Э3 (СЗ) (2)'!I21+'Э4 (СЗ) (2)'!I21</f>
        <v>21880.037812499999</v>
      </c>
      <c r="J16" s="42">
        <f>'Э1 (СЗ) (2)'!J21+'Э2 (СЗ) (2)'!J21+'Э3 (СЗ) (2)'!J21+'Э4 (СЗ) (2)'!J21</f>
        <v>27597.4102546875</v>
      </c>
      <c r="K16" s="42">
        <f>'Э1 (СЗ) (2)'!K21+'Э2 (СЗ) (2)'!K21+'Э3 (СЗ) (2)'!K21+'Э4 (СЗ) (2)'!K21</f>
        <v>33314.782696875001</v>
      </c>
      <c r="L16" s="42">
        <f>'Э1 (СЗ) (2)'!L21+'Э2 (СЗ) (2)'!L21+'Э3 (СЗ) (2)'!L21+'Э4 (СЗ) (2)'!L21</f>
        <v>39203.676312328127</v>
      </c>
      <c r="M16" s="42">
        <f>'Э1 (СЗ) (2)'!M21+'Э2 (СЗ) (2)'!M21+'Э3 (СЗ) (2)'!M21+'Э4 (СЗ) (2)'!M21</f>
        <v>45092.569927781253</v>
      </c>
      <c r="N16" s="42">
        <f>'Э1 (СЗ) (2)'!N21+'Э2 (СЗ) (2)'!N21+'Э3 (СЗ) (2)'!N21+'Э4 (СЗ) (2)'!N21</f>
        <v>34314.226177781253</v>
      </c>
      <c r="O16" s="42">
        <f>'Э1 (СЗ) (2)'!O21+'Э2 (СЗ) (2)'!O21+'Э3 (СЗ) (2)'!O21+'Э4 (СЗ) (2)'!O21</f>
        <v>34314.226177781253</v>
      </c>
      <c r="P16" s="42">
        <f>'Э1 (СЗ) (2)'!P21+'Э2 (СЗ) (2)'!P21+'Э3 (СЗ) (2)'!P21+'Э4 (СЗ) (2)'!P21</f>
        <v>23212.532115281254</v>
      </c>
      <c r="Q16" s="42">
        <f>'Э1 (СЗ) (2)'!Q21+'Э2 (СЗ) (2)'!Q21+'Э3 (СЗ) (2)'!Q21+'Э4 (СЗ) (2)'!Q21</f>
        <v>23212.532115281254</v>
      </c>
      <c r="R16" s="42">
        <f>'Э1 (СЗ) (2)'!R21+'Э2 (СЗ) (2)'!R21+'Э3 (СЗ) (2)'!R21+'Э4 (СЗ) (2)'!R21</f>
        <v>11777.787230906251</v>
      </c>
      <c r="S16" s="42">
        <f>'Э1 (СЗ) (2)'!S21+'Э2 (СЗ) (2)'!S21+'Э3 (СЗ) (2)'!S21+'Э4 (СЗ) (2)'!S21</f>
        <v>11777.787230906251</v>
      </c>
      <c r="T16" s="42">
        <f>'Э1 (СЗ) (2)'!T21+'Э2 (СЗ) (2)'!T21+'Э3 (СЗ) (2)'!T21+'Э4 (СЗ) (2)'!T21</f>
        <v>11777.787230906251</v>
      </c>
      <c r="U16" s="42">
        <f>'Э1 (СЗ) (2)'!U21+'Э2 (СЗ) (2)'!U21+'Э3 (СЗ) (2)'!U21+'Э4 (СЗ) (2)'!U21</f>
        <v>0</v>
      </c>
      <c r="V16" s="42">
        <f>'Э1 (СЗ) (2)'!V21+'Э2 (СЗ) (2)'!V21+'Э3 (СЗ) (2)'!V21+'Э4 (СЗ) (2)'!V21</f>
        <v>0</v>
      </c>
      <c r="W16" s="42">
        <f>'Э1 (СЗ) (2)'!W21+'Э2 (СЗ) (2)'!W21+'Э3 (СЗ) (2)'!W21+'Э4 (СЗ) (2)'!W21</f>
        <v>0</v>
      </c>
      <c r="X16" s="42">
        <f>'Э1 (СЗ) (2)'!X21+'Э2 (СЗ) (2)'!X21+'Э3 (СЗ) (2)'!X21+'Э4 (СЗ) (2)'!X21</f>
        <v>0</v>
      </c>
      <c r="Y16" s="42">
        <f>'Э1 (СЗ) (2)'!Y21+'Э2 (СЗ) (2)'!Y21+'Э3 (СЗ) (2)'!Y21+'Э4 (СЗ) (2)'!Y21</f>
        <v>0</v>
      </c>
      <c r="Z16" s="42">
        <f>'Э1 (СЗ) (2)'!Z21+'Э2 (СЗ) (2)'!Z21+'Э3 (СЗ) (2)'!Z21+'Э4 (СЗ) (2)'!Z21</f>
        <v>0</v>
      </c>
    </row>
    <row r="17" spans="1:26" s="44" customFormat="1" x14ac:dyDescent="0.2">
      <c r="A17" s="43" t="s">
        <v>13</v>
      </c>
      <c r="B17" s="49">
        <f t="shared" ref="B17:B24" si="2">SUM(C17:Z17)</f>
        <v>-2041955.5224059743</v>
      </c>
      <c r="C17" s="49">
        <f t="shared" ref="C17:V17" si="3">SUM(C18:C24)</f>
        <v>0</v>
      </c>
      <c r="D17" s="49">
        <f t="shared" si="3"/>
        <v>0</v>
      </c>
      <c r="E17" s="49">
        <f t="shared" si="3"/>
        <v>0</v>
      </c>
      <c r="F17" s="49">
        <f t="shared" si="3"/>
        <v>-10831.391539743354</v>
      </c>
      <c r="G17" s="49">
        <f t="shared" si="3"/>
        <v>-10831.391539743354</v>
      </c>
      <c r="H17" s="49">
        <f t="shared" si="3"/>
        <v>-99945.578771487955</v>
      </c>
      <c r="I17" s="49">
        <f t="shared" si="3"/>
        <v>-97138.753240202772</v>
      </c>
      <c r="J17" s="49">
        <f t="shared" si="3"/>
        <v>-190164.07576385359</v>
      </c>
      <c r="K17" s="49">
        <f t="shared" si="3"/>
        <v>-188508.33405987211</v>
      </c>
      <c r="L17" s="49">
        <f t="shared" si="3"/>
        <v>-285609.19764323556</v>
      </c>
      <c r="M17" s="49">
        <f t="shared" si="3"/>
        <v>-202036.59780382511</v>
      </c>
      <c r="N17" s="49">
        <f t="shared" si="3"/>
        <v>-296791.73992987029</v>
      </c>
      <c r="O17" s="49">
        <f t="shared" si="3"/>
        <v>-197948.12524585112</v>
      </c>
      <c r="P17" s="49">
        <f t="shared" si="3"/>
        <v>-207650.68429670238</v>
      </c>
      <c r="Q17" s="49">
        <f t="shared" si="3"/>
        <v>-107096.73544256957</v>
      </c>
      <c r="R17" s="49">
        <f t="shared" si="3"/>
        <v>-115513.38579388853</v>
      </c>
      <c r="S17" s="49">
        <f t="shared" si="3"/>
        <v>-10485.987412001676</v>
      </c>
      <c r="T17" s="49">
        <f t="shared" si="3"/>
        <v>-3565.9518270211001</v>
      </c>
      <c r="U17" s="49">
        <f t="shared" si="3"/>
        <v>-16045.840009350886</v>
      </c>
      <c r="V17" s="49">
        <f t="shared" si="3"/>
        <v>-1791.7520867552121</v>
      </c>
      <c r="W17" s="49">
        <f t="shared" ref="W17:Z17" si="4">SUM(W18:W22)</f>
        <v>0</v>
      </c>
      <c r="X17" s="49">
        <f t="shared" si="4"/>
        <v>0</v>
      </c>
      <c r="Y17" s="49">
        <f t="shared" si="4"/>
        <v>0</v>
      </c>
      <c r="Z17" s="49">
        <f t="shared" si="4"/>
        <v>0</v>
      </c>
    </row>
    <row r="18" spans="1:26" x14ac:dyDescent="0.2">
      <c r="A18" s="9" t="s">
        <v>23</v>
      </c>
      <c r="B18" s="4">
        <f t="shared" si="2"/>
        <v>-1803702.7971112495</v>
      </c>
      <c r="C18" s="38">
        <f>'Э1 (СЗ) (2)'!C23+'Э2 (СЗ) (2)'!C23+'Э3 (СЗ) (2)'!C23+'Э4 (СЗ) (2)'!C23</f>
        <v>0</v>
      </c>
      <c r="D18" s="38">
        <f>'Э1 (СЗ) (2)'!D23+'Э2 (СЗ) (2)'!D23+'Э3 (СЗ) (2)'!D23+'Э4 (СЗ) (2)'!D23</f>
        <v>0</v>
      </c>
      <c r="E18" s="38">
        <f>'Э1 (СЗ) (2)'!E23+'Э2 (СЗ) (2)'!E23+'Э3 (СЗ) (2)'!E23+'Э4 (СЗ) (2)'!E23</f>
        <v>0</v>
      </c>
      <c r="F18" s="38">
        <f>'Э1 (СЗ) (2)'!F23+'Э2 (СЗ) (2)'!F23+'Э3 (СЗ) (2)'!F23+'Э4 (СЗ) (2)'!F23</f>
        <v>-10778.34375</v>
      </c>
      <c r="G18" s="38">
        <f>'Э1 (СЗ) (2)'!G23+'Э2 (СЗ) (2)'!G23+'Э3 (СЗ) (2)'!G23+'Э4 (СЗ) (2)'!G23</f>
        <v>-10778.34375</v>
      </c>
      <c r="H18" s="38">
        <f>'Э1 (СЗ) (2)'!H23+'Э2 (СЗ) (2)'!H23+'Э3 (СЗ) (2)'!H23+'Э4 (СЗ) (2)'!H23</f>
        <v>-93017.106562500005</v>
      </c>
      <c r="I18" s="38">
        <f>'Э1 (СЗ) (2)'!I23+'Э2 (СЗ) (2)'!I23+'Э3 (СЗ) (2)'!I23+'Э4 (СЗ) (2)'!I23</f>
        <v>-93017.106562500005</v>
      </c>
      <c r="J18" s="38">
        <f>'Э1 (СЗ) (2)'!J23+'Э2 (СЗ) (2)'!J23+'Э3 (СЗ) (2)'!J23+'Э4 (СЗ) (2)'!J23</f>
        <v>-177723.032259375</v>
      </c>
      <c r="K18" s="38">
        <f>'Э1 (СЗ) (2)'!K23+'Э2 (СЗ) (2)'!K23+'Э3 (СЗ) (2)'!K23+'Э4 (СЗ) (2)'!K23</f>
        <v>-177723.032259375</v>
      </c>
      <c r="L18" s="38">
        <f>'Э1 (СЗ) (2)'!L23+'Э2 (СЗ) (2)'!L23+'Э3 (СЗ) (2)'!L23+'Э4 (СЗ) (2)'!L23</f>
        <v>-264970.1357271563</v>
      </c>
      <c r="M18" s="38">
        <f>'Э1 (СЗ) (2)'!M23+'Э2 (СЗ) (2)'!M23+'Э3 (СЗ) (2)'!M23+'Э4 (СЗ) (2)'!M23</f>
        <v>-183054.72322715627</v>
      </c>
      <c r="N18" s="38">
        <f>'Э1 (СЗ) (2)'!N23+'Э2 (СЗ) (2)'!N23+'Э3 (СЗ) (2)'!N23+'Э4 (СЗ) (2)'!N23</f>
        <v>-260788.11895113753</v>
      </c>
      <c r="O18" s="38">
        <f>'Э1 (СЗ) (2)'!O23+'Э2 (СЗ) (2)'!O23+'Э3 (СЗ) (2)'!O23+'Э4 (СЗ) (2)'!O23</f>
        <v>-176415.24407613749</v>
      </c>
      <c r="P18" s="38">
        <f>'Э1 (СЗ) (2)'!P23+'Э2 (СЗ) (2)'!P23+'Э3 (СЗ) (2)'!P23+'Э4 (СЗ) (2)'!P23</f>
        <v>-176415.24407613749</v>
      </c>
      <c r="Q18" s="38">
        <f>'Э1 (СЗ) (2)'!Q23+'Э2 (СЗ) (2)'!Q23+'Э3 (СЗ) (2)'!Q23+'Э4 (СЗ) (2)'!Q23</f>
        <v>-89511.182954887496</v>
      </c>
      <c r="R18" s="38">
        <f>'Э1 (СЗ) (2)'!R23+'Э2 (СЗ) (2)'!R23+'Э3 (СЗ) (2)'!R23+'Э4 (СЗ) (2)'!R23</f>
        <v>-89511.182954887496</v>
      </c>
      <c r="S18" s="38">
        <f>'Э1 (СЗ) (2)'!S23+'Э2 (СЗ) (2)'!S23+'Э3 (СЗ) (2)'!S23+'Э4 (СЗ) (2)'!S23</f>
        <v>0</v>
      </c>
      <c r="T18" s="38">
        <f>'Э1 (СЗ) (2)'!T23+'Э2 (СЗ) (2)'!T23+'Э3 (СЗ) (2)'!T23+'Э4 (СЗ) (2)'!T23</f>
        <v>0</v>
      </c>
      <c r="U18" s="38">
        <f>'Э1 (СЗ) (2)'!U23+'Э2 (СЗ) (2)'!U23+'Э3 (СЗ) (2)'!U23+'Э4 (СЗ) (2)'!U23</f>
        <v>0</v>
      </c>
      <c r="V18" s="38">
        <f>'Э1 (СЗ) (2)'!V23+'Э2 (СЗ) (2)'!V23+'Э3 (СЗ) (2)'!V23+'Э4 (СЗ) (2)'!V23</f>
        <v>0</v>
      </c>
      <c r="W18" s="38">
        <f>'Э1 (СЗ) (2)'!W23+'Э2 (СЗ) (2)'!W23+'Э3 (СЗ) (2)'!W23+'Э4 (СЗ) (2)'!W23</f>
        <v>0</v>
      </c>
      <c r="X18" s="38">
        <f>'Э1 (СЗ) (2)'!X23+'Э2 (СЗ) (2)'!X23+'Э3 (СЗ) (2)'!X23+'Э4 (СЗ) (2)'!X23</f>
        <v>0</v>
      </c>
      <c r="Y18" s="38">
        <f>'Э1 (СЗ) (2)'!Y23+'Э2 (СЗ) (2)'!Y23+'Э3 (СЗ) (2)'!Y23+'Э4 (СЗ) (2)'!Y23</f>
        <v>0</v>
      </c>
      <c r="Z18" s="38">
        <f>'Э1 (СЗ) (2)'!Z23+'Э2 (СЗ) (2)'!Z23+'Э3 (СЗ) (2)'!Z23+'Э4 (СЗ) (2)'!Z23</f>
        <v>0</v>
      </c>
    </row>
    <row r="19" spans="1:26" x14ac:dyDescent="0.2">
      <c r="A19" s="9" t="s">
        <v>145</v>
      </c>
      <c r="B19" s="4">
        <f>SUM(C19:Z19)</f>
        <v>-72002.770159416599</v>
      </c>
      <c r="C19" s="38">
        <f>'Э1 (СЗ) (2)'!C24+'Э2 (СЗ) (2)'!C24+'Э3 (СЗ) (2)'!C24+'Э4 (СЗ) (2)'!C24</f>
        <v>0</v>
      </c>
      <c r="D19" s="38">
        <f>'Э1 (СЗ) (2)'!D24+'Э2 (СЗ) (2)'!D24+'Э3 (СЗ) (2)'!D24+'Э4 (СЗ) (2)'!D24</f>
        <v>0</v>
      </c>
      <c r="E19" s="38">
        <f>'Э1 (СЗ) (2)'!E24+'Э2 (СЗ) (2)'!E24+'Э3 (СЗ) (2)'!E24+'Э4 (СЗ) (2)'!E24</f>
        <v>0</v>
      </c>
      <c r="F19" s="38">
        <f>'Э1 (СЗ) (2)'!F24+'Э2 (СЗ) (2)'!F24+'Э3 (СЗ) (2)'!F24+'Э4 (СЗ) (2)'!F24</f>
        <v>-53.047789743354194</v>
      </c>
      <c r="G19" s="38">
        <f>'Э1 (СЗ) (2)'!G24+'Э2 (СЗ) (2)'!G24+'Э3 (СЗ) (2)'!G24+'Э4 (СЗ) (2)'!G24</f>
        <v>-53.047789743354194</v>
      </c>
      <c r="H19" s="38">
        <f>'Э1 (СЗ) (2)'!H24+'Э2 (СЗ) (2)'!H24+'Э3 (СЗ) (2)'!H24+'Э4 (СЗ) (2)'!H24</f>
        <v>-2013.5474589879436</v>
      </c>
      <c r="I19" s="38">
        <f>'Э1 (СЗ) (2)'!I24+'Э2 (СЗ) (2)'!I24+'Э3 (СЗ) (2)'!I24+'Э4 (СЗ) (2)'!I24</f>
        <v>-2048.2965142185831</v>
      </c>
      <c r="J19" s="38">
        <f>'Э1 (СЗ) (2)'!J24+'Э2 (СЗ) (2)'!J24+'Э3 (СЗ) (2)'!J24+'Э4 (СЗ) (2)'!J24</f>
        <v>-4143.013607811502</v>
      </c>
      <c r="K19" s="38">
        <f>'Э1 (СЗ) (2)'!K24+'Э2 (СЗ) (2)'!K24+'Э3 (СЗ) (2)'!K24+'Э4 (СЗ) (2)'!K24</f>
        <v>-4214.0930174673704</v>
      </c>
      <c r="L19" s="38">
        <f>'Э1 (СЗ) (2)'!L24+'Э2 (СЗ) (2)'!L24+'Э3 (СЗ) (2)'!L24+'Э4 (СЗ) (2)'!L24</f>
        <v>-6447.605009296336</v>
      </c>
      <c r="M19" s="38">
        <f>'Э1 (СЗ) (2)'!M24+'Э2 (СЗ) (2)'!M24+'Э3 (СЗ) (2)'!M24+'Э4 (СЗ) (2)'!M24</f>
        <v>-6140.8436253135742</v>
      </c>
      <c r="N19" s="38">
        <f>'Э1 (СЗ) (2)'!N24+'Э2 (СЗ) (2)'!N24+'Э3 (СЗ) (2)'!N24+'Э4 (СЗ) (2)'!N24</f>
        <v>-8397.5955121842089</v>
      </c>
      <c r="O19" s="38">
        <f>'Э1 (СЗ) (2)'!O24+'Э2 (СЗ) (2)'!O24+'Э3 (СЗ) (2)'!O24+'Э4 (СЗ) (2)'!O24</f>
        <v>-8018.6234114065273</v>
      </c>
      <c r="P19" s="38">
        <f>'Э1 (СЗ) (2)'!P24+'Э2 (СЗ) (2)'!P24+'Э3 (СЗ) (2)'!P24+'Э4 (СЗ) (2)'!P24</f>
        <v>-8143.4834471948325</v>
      </c>
      <c r="Q19" s="38">
        <f>'Э1 (СЗ) (2)'!Q24+'Э2 (СЗ) (2)'!Q24+'Э3 (СЗ) (2)'!Q24+'Э4 (СЗ) (2)'!Q24</f>
        <v>-5836.7627545812975</v>
      </c>
      <c r="R19" s="38">
        <f>'Э1 (СЗ) (2)'!R24+'Э2 (СЗ) (2)'!R24+'Э3 (СЗ) (2)'!R24+'Э4 (СЗ) (2)'!R24</f>
        <v>-5926.0918813962726</v>
      </c>
      <c r="S19" s="38">
        <f>'Э1 (СЗ) (2)'!S24+'Э2 (СЗ) (2)'!S24+'Э3 (СЗ) (2)'!S24+'Э4 (СЗ) (2)'!S24</f>
        <v>-3478.7559610120097</v>
      </c>
      <c r="T19" s="38">
        <f>'Э1 (СЗ) (2)'!T24+'Э2 (СЗ) (2)'!T24+'Э3 (СЗ) (2)'!T24+'Э4 (СЗ) (2)'!T24</f>
        <v>-3530.9373004271893</v>
      </c>
      <c r="U19" s="38">
        <f>'Э1 (СЗ) (2)'!U24+'Э2 (СЗ) (2)'!U24+'Э3 (СЗ) (2)'!U24+'Э4 (СЗ) (2)'!U24</f>
        <v>-1765.2729918770565</v>
      </c>
      <c r="V19" s="38">
        <f>'Э1 (СЗ) (2)'!V24+'Э2 (СЗ) (2)'!V24+'Э3 (СЗ) (2)'!V24+'Э4 (СЗ) (2)'!V24</f>
        <v>-1791.7520867552121</v>
      </c>
      <c r="W19" s="38"/>
      <c r="X19" s="38"/>
      <c r="Y19" s="38"/>
      <c r="Z19" s="38"/>
    </row>
    <row r="20" spans="1:26" x14ac:dyDescent="0.2">
      <c r="A20" s="9" t="s">
        <v>46</v>
      </c>
      <c r="B20" s="4">
        <f t="shared" si="2"/>
        <v>-78137.730520181227</v>
      </c>
      <c r="C20" s="38">
        <f>'Э1 (СЗ) (2)'!C25+'Э2 (СЗ) (2)'!C25+'Э3 (СЗ) (2)'!C25+'Э4 (СЗ) (2)'!C25</f>
        <v>0</v>
      </c>
      <c r="D20" s="38">
        <f>'Э1 (СЗ) (2)'!D25+'Э2 (СЗ) (2)'!D25+'Э3 (СЗ) (2)'!D25+'Э4 (СЗ) (2)'!D25</f>
        <v>0</v>
      </c>
      <c r="E20" s="38">
        <f>'Э1 (СЗ) (2)'!E25+'Э2 (СЗ) (2)'!E25+'Э3 (СЗ) (2)'!E25+'Э4 (СЗ) (2)'!E25</f>
        <v>0</v>
      </c>
      <c r="F20" s="38">
        <f>'Э1 (СЗ) (2)'!F25+'Э2 (СЗ) (2)'!F25+'Э3 (СЗ) (2)'!F25+'Э4 (СЗ) (2)'!F25</f>
        <v>0</v>
      </c>
      <c r="G20" s="38">
        <f>'Э1 (СЗ) (2)'!G25+'Э2 (СЗ) (2)'!G25+'Э3 (СЗ) (2)'!G25+'Э4 (СЗ) (2)'!G25</f>
        <v>0</v>
      </c>
      <c r="H20" s="38">
        <f>'Э1 (СЗ) (2)'!H25+'Э2 (СЗ) (2)'!H25+'Э3 (СЗ) (2)'!H25+'Э4 (СЗ) (2)'!H25</f>
        <v>0</v>
      </c>
      <c r="I20" s="38">
        <f>'Э1 (СЗ) (2)'!I25+'Э2 (СЗ) (2)'!I25+'Э3 (СЗ) (2)'!I25+'Э4 (СЗ) (2)'!I25</f>
        <v>-1254.1960384841791</v>
      </c>
      <c r="J20" s="38">
        <f>'Э1 (СЗ) (2)'!J25+'Э2 (СЗ) (2)'!J25+'Э3 (СЗ) (2)'!J25+'Э4 (СЗ) (2)'!J25</f>
        <v>-2416.5032791670783</v>
      </c>
      <c r="K20" s="38">
        <f>'Э1 (СЗ) (2)'!K25+'Э2 (СЗ) (2)'!K25+'Э3 (СЗ) (2)'!K25+'Э4 (СЗ) (2)'!K25</f>
        <v>-4908.3259092797325</v>
      </c>
      <c r="L20" s="38">
        <f>'Э1 (СЗ) (2)'!L25+'Э2 (СЗ) (2)'!L25+'Э3 (СЗ) (2)'!L25+'Э4 (СЗ) (2)'!L25</f>
        <v>-7314.3303657579308</v>
      </c>
      <c r="M20" s="38">
        <f>'Э1 (СЗ) (2)'!M25+'Э2 (СЗ) (2)'!M25+'Э3 (СЗ) (2)'!M25+'Э4 (СЗ) (2)'!M25</f>
        <v>-11128.261591392766</v>
      </c>
      <c r="N20" s="38">
        <f>'Э1 (СЗ) (2)'!N25+'Э2 (СЗ) (2)'!N25+'Э3 (СЗ) (2)'!N25+'Э4 (СЗ) (2)'!N25</f>
        <v>-7723.301926167801</v>
      </c>
      <c r="O20" s="38">
        <f>'Э1 (СЗ) (2)'!O25+'Э2 (СЗ) (2)'!O25+'Э3 (СЗ) (2)'!O25+'Э4 (СЗ) (2)'!O25</f>
        <v>-11750.105317545724</v>
      </c>
      <c r="P20" s="38">
        <f>'Э1 (СЗ) (2)'!P25+'Э2 (СЗ) (2)'!P25+'Э3 (СЗ) (2)'!P25+'Э4 (СЗ) (2)'!P25</f>
        <v>-8144.542633389965</v>
      </c>
      <c r="Q20" s="38">
        <f>'Э1 (СЗ) (2)'!Q25+'Э2 (СЗ) (2)'!Q25+'Э3 (СЗ) (2)'!Q25+'Э4 (СЗ) (2)'!Q25</f>
        <v>-10853.677903551903</v>
      </c>
      <c r="R20" s="38">
        <f>'Э1 (СЗ) (2)'!R25+'Э2 (СЗ) (2)'!R25+'Э3 (СЗ) (2)'!R25+'Э4 (СЗ) (2)'!R25</f>
        <v>-5602.2395778605742</v>
      </c>
      <c r="S20" s="38">
        <f>'Э1 (СЗ) (2)'!S25+'Э2 (СЗ) (2)'!S25+'Э3 (СЗ) (2)'!S25+'Э4 (СЗ) (2)'!S25</f>
        <v>-7007.2314509896669</v>
      </c>
      <c r="T20" s="38">
        <f>'Э1 (СЗ) (2)'!T25+'Э2 (СЗ) (2)'!T25+'Э3 (СЗ) (2)'!T25+'Э4 (СЗ) (2)'!T25</f>
        <v>-35.014526593910709</v>
      </c>
      <c r="U20" s="38">
        <f>'Э1 (СЗ) (2)'!U25+'Э2 (СЗ) (2)'!U25+'Э3 (СЗ) (2)'!U25+'Э4 (СЗ) (2)'!U25</f>
        <v>0</v>
      </c>
      <c r="V20" s="38">
        <f>'Э1 (СЗ) (2)'!V25+'Э2 (СЗ) (2)'!V25+'Э3 (СЗ) (2)'!V25+'Э4 (СЗ) (2)'!V25</f>
        <v>0</v>
      </c>
      <c r="W20" s="38">
        <f>'Э1 (СЗ) (2)'!W25+'Э2 (СЗ) (2)'!W25+'Э3 (СЗ) (2)'!W25+'Э4 (СЗ) (2)'!W25</f>
        <v>0</v>
      </c>
      <c r="X20" s="38">
        <f>'Э1 (СЗ) (2)'!X25+'Э2 (СЗ) (2)'!X25+'Э3 (СЗ) (2)'!X25+'Э4 (СЗ) (2)'!X25</f>
        <v>0</v>
      </c>
      <c r="Y20" s="38">
        <f>'Э1 (СЗ) (2)'!Y25+'Э2 (СЗ) (2)'!Y25+'Э3 (СЗ) (2)'!Y25+'Э4 (СЗ) (2)'!Y25</f>
        <v>0</v>
      </c>
      <c r="Z20" s="38">
        <f>'Э1 (СЗ) (2)'!Z25+'Э2 (СЗ) (2)'!Z25+'Э3 (СЗ) (2)'!Z25+'Э4 (СЗ) (2)'!Z25</f>
        <v>0</v>
      </c>
    </row>
    <row r="21" spans="1:26" x14ac:dyDescent="0.2">
      <c r="A21" s="9" t="s">
        <v>24</v>
      </c>
      <c r="B21" s="4">
        <f t="shared" si="2"/>
        <v>-45092.569927781253</v>
      </c>
      <c r="C21" s="38">
        <f>'Э1 (СЗ) (2)'!C26+'Э2 (СЗ) (2)'!C26+'Э3 (СЗ) (2)'!C26+'Э4 (СЗ) (2)'!C26</f>
        <v>0</v>
      </c>
      <c r="D21" s="38">
        <f>'Э1 (СЗ) (2)'!D26+'Э2 (СЗ) (2)'!D26+'Э3 (СЗ) (2)'!D26+'Э4 (СЗ) (2)'!D26</f>
        <v>0</v>
      </c>
      <c r="E21" s="38">
        <f>'Э1 (СЗ) (2)'!E26+'Э2 (СЗ) (2)'!E26+'Э3 (СЗ) (2)'!E26+'Э4 (СЗ) (2)'!E26</f>
        <v>0</v>
      </c>
      <c r="F21" s="38">
        <f>'Э1 (СЗ) (2)'!F26+'Э2 (СЗ) (2)'!F26+'Э3 (СЗ) (2)'!F26+'Э4 (СЗ) (2)'!F26</f>
        <v>0</v>
      </c>
      <c r="G21" s="38">
        <f>'Э1 (СЗ) (2)'!G26+'Э2 (СЗ) (2)'!G26+'Э3 (СЗ) (2)'!G26+'Э4 (СЗ) (2)'!G26</f>
        <v>0</v>
      </c>
      <c r="H21" s="38">
        <f>'Э1 (СЗ) (2)'!H26+'Э2 (СЗ) (2)'!H26+'Э3 (СЗ) (2)'!H26+'Э4 (СЗ) (2)'!H26</f>
        <v>0</v>
      </c>
      <c r="I21" s="38">
        <f>'Э1 (СЗ) (2)'!I26+'Э2 (СЗ) (2)'!I26+'Э3 (СЗ) (2)'!I26+'Э4 (СЗ) (2)'!I26</f>
        <v>0</v>
      </c>
      <c r="J21" s="38">
        <f>'Э1 (СЗ) (2)'!J26+'Э2 (СЗ) (2)'!J26+'Э3 (СЗ) (2)'!J26+'Э4 (СЗ) (2)'!J26</f>
        <v>0</v>
      </c>
      <c r="K21" s="38">
        <f>'Э1 (СЗ) (2)'!K26+'Э2 (СЗ) (2)'!K26+'Э3 (СЗ) (2)'!K26+'Э4 (СЗ) (2)'!K26</f>
        <v>0</v>
      </c>
      <c r="L21" s="38">
        <f>'Э1 (СЗ) (2)'!L26+'Э2 (СЗ) (2)'!L26+'Э3 (СЗ) (2)'!L26+'Э4 (СЗ) (2)'!L26</f>
        <v>0</v>
      </c>
      <c r="M21" s="38">
        <f>'Э1 (СЗ) (2)'!M26+'Э2 (СЗ) (2)'!M26+'Э3 (СЗ) (2)'!M26+'Э4 (СЗ) (2)'!M26</f>
        <v>0</v>
      </c>
      <c r="N21" s="38">
        <f>'Э1 (СЗ) (2)'!N26+'Э2 (СЗ) (2)'!N26+'Э3 (СЗ) (2)'!N26+'Э4 (СЗ) (2)'!N26</f>
        <v>-10778.34375</v>
      </c>
      <c r="O21" s="38">
        <f>'Э1 (СЗ) (2)'!O26+'Э2 (СЗ) (2)'!O26+'Э3 (СЗ) (2)'!O26+'Э4 (СЗ) (2)'!O26</f>
        <v>0</v>
      </c>
      <c r="P21" s="38">
        <f>'Э1 (СЗ) (2)'!P26+'Э2 (СЗ) (2)'!P26+'Э3 (СЗ) (2)'!P26+'Э4 (СЗ) (2)'!P26</f>
        <v>-11101.694062500001</v>
      </c>
      <c r="Q21" s="38">
        <f>'Э1 (СЗ) (2)'!Q26+'Э2 (СЗ) (2)'!Q26+'Э3 (СЗ) (2)'!Q26+'Э4 (СЗ) (2)'!Q26</f>
        <v>0</v>
      </c>
      <c r="R21" s="38">
        <f>'Э1 (СЗ) (2)'!R26+'Э2 (СЗ) (2)'!R26+'Э3 (СЗ) (2)'!R26+'Э4 (СЗ) (2)'!R26</f>
        <v>-11434.744884375001</v>
      </c>
      <c r="S21" s="38">
        <f>'Э1 (СЗ) (2)'!S26+'Э2 (СЗ) (2)'!S26+'Э3 (СЗ) (2)'!S26+'Э4 (СЗ) (2)'!S26</f>
        <v>0</v>
      </c>
      <c r="T21" s="38">
        <f>'Э1 (СЗ) (2)'!T26+'Э2 (СЗ) (2)'!T26+'Э3 (СЗ) (2)'!T26+'Э4 (СЗ) (2)'!T26</f>
        <v>0</v>
      </c>
      <c r="U21" s="38">
        <f>'Э1 (СЗ) (2)'!U26+'Э2 (СЗ) (2)'!U26+'Э3 (СЗ) (2)'!U26+'Э4 (СЗ) (2)'!U26</f>
        <v>-11777.787230906251</v>
      </c>
      <c r="V21" s="38">
        <f>'Э1 (СЗ) (2)'!V26+'Э2 (СЗ) (2)'!V26+'Э3 (СЗ) (2)'!V26+'Э4 (СЗ) (2)'!V26</f>
        <v>0</v>
      </c>
      <c r="W21" s="38">
        <f>'Э1 (СЗ) (2)'!W26+'Э2 (СЗ) (2)'!W26+'Э3 (СЗ) (2)'!W26+'Э4 (СЗ) (2)'!W26</f>
        <v>0</v>
      </c>
      <c r="X21" s="38">
        <f>'Э1 (СЗ) (2)'!X26+'Э2 (СЗ) (2)'!X26+'Э3 (СЗ) (2)'!X26+'Э4 (СЗ) (2)'!X26</f>
        <v>0</v>
      </c>
      <c r="Y21" s="38">
        <f>'Э1 (СЗ) (2)'!Y26+'Э2 (СЗ) (2)'!Y26+'Э3 (СЗ) (2)'!Y26+'Э4 (СЗ) (2)'!Y26</f>
        <v>0</v>
      </c>
      <c r="Z21" s="38">
        <f>'Э1 (СЗ) (2)'!Z26+'Э2 (СЗ) (2)'!Z26+'Э3 (СЗ) (2)'!Z26+'Э4 (СЗ) (2)'!Z26</f>
        <v>0</v>
      </c>
    </row>
    <row r="22" spans="1:26" x14ac:dyDescent="0.2">
      <c r="A22" s="9" t="s">
        <v>25</v>
      </c>
      <c r="B22" s="4">
        <f t="shared" si="2"/>
        <v>-8749.3015422316421</v>
      </c>
      <c r="C22" s="38">
        <f>'Э1 (СЗ) (2)'!C27+'Э2 (СЗ) (2)'!C27+'Э3 (СЗ) (2)'!C27+'Э4 (СЗ) (2)'!C27</f>
        <v>0</v>
      </c>
      <c r="D22" s="38">
        <f>'Э1 (СЗ) (2)'!D27+'Э2 (СЗ) (2)'!D27+'Э3 (СЗ) (2)'!D27+'Э4 (СЗ) (2)'!D27</f>
        <v>0</v>
      </c>
      <c r="E22" s="38">
        <f>'Э1 (СЗ) (2)'!E27+'Э2 (СЗ) (2)'!E27+'Э3 (СЗ) (2)'!E27+'Э4 (СЗ) (2)'!E27</f>
        <v>0</v>
      </c>
      <c r="F22" s="38">
        <f>'Э1 (СЗ) (2)'!F27+'Э2 (СЗ) (2)'!F27+'Э3 (СЗ) (2)'!F27+'Э4 (СЗ) (2)'!F27</f>
        <v>0</v>
      </c>
      <c r="G22" s="38">
        <f>'Э1 (СЗ) (2)'!G27+'Э2 (СЗ) (2)'!G27+'Э3 (СЗ) (2)'!G27+'Э4 (СЗ) (2)'!G27</f>
        <v>0</v>
      </c>
      <c r="H22" s="38">
        <f>'Э1 (СЗ) (2)'!H27+'Э2 (СЗ) (2)'!H27+'Э3 (СЗ) (2)'!H27+'Э4 (СЗ) (2)'!H27</f>
        <v>0</v>
      </c>
      <c r="I22" s="38">
        <f>'Э1 (СЗ) (2)'!I27+'Э2 (СЗ) (2)'!I27+'Э3 (СЗ) (2)'!I27+'Э4 (СЗ) (2)'!I27</f>
        <v>0</v>
      </c>
      <c r="J22" s="38">
        <f>'Э1 (СЗ) (2)'!J27+'Э2 (СЗ) (2)'!J27+'Э3 (СЗ) (2)'!J27+'Э4 (СЗ) (2)'!J27</f>
        <v>0</v>
      </c>
      <c r="K22" s="38">
        <f>'Э1 (СЗ) (2)'!K27+'Э2 (СЗ) (2)'!K27+'Э3 (СЗ) (2)'!K27+'Э4 (СЗ) (2)'!K27</f>
        <v>0</v>
      </c>
      <c r="L22" s="38">
        <f>'Э1 (СЗ) (2)'!L27+'Э2 (СЗ) (2)'!L27+'Э3 (СЗ) (2)'!L27+'Э4 (СЗ) (2)'!L27</f>
        <v>0</v>
      </c>
      <c r="M22" s="38">
        <f>'Э1 (СЗ) (2)'!M27+'Э2 (СЗ) (2)'!M27+'Э3 (СЗ) (2)'!M27+'Э4 (СЗ) (2)'!M27</f>
        <v>0</v>
      </c>
      <c r="N22" s="38">
        <f>'Э1 (СЗ) (2)'!N27+'Э2 (СЗ) (2)'!N27+'Э3 (СЗ) (2)'!N27+'Э4 (СЗ) (2)'!N27</f>
        <v>-2020.939453125</v>
      </c>
      <c r="O22" s="38">
        <f>'Э1 (СЗ) (2)'!O27+'Э2 (СЗ) (2)'!O27+'Э3 (СЗ) (2)'!O27+'Э4 (СЗ) (2)'!O27</f>
        <v>0</v>
      </c>
      <c r="P22" s="38">
        <f>'Э1 (СЗ) (2)'!P27+'Э2 (СЗ) (2)'!P27+'Э3 (СЗ) (2)'!P27+'Э4 (СЗ) (2)'!P27</f>
        <v>-2081.5676367187502</v>
      </c>
      <c r="Q22" s="38">
        <f>'Э1 (СЗ) (2)'!Q27+'Э2 (СЗ) (2)'!Q27+'Э3 (СЗ) (2)'!Q27+'Э4 (СЗ) (2)'!Q27</f>
        <v>0</v>
      </c>
      <c r="R22" s="38">
        <f>'Э1 (СЗ) (2)'!R27+'Э2 (СЗ) (2)'!R27+'Э3 (СЗ) (2)'!R27+'Э4 (СЗ) (2)'!R27</f>
        <v>-2144.014665820313</v>
      </c>
      <c r="S22" s="38">
        <f>'Э1 (СЗ) (2)'!S27+'Э2 (СЗ) (2)'!S27+'Э3 (СЗ) (2)'!S27+'Э4 (СЗ) (2)'!S27</f>
        <v>0</v>
      </c>
      <c r="T22" s="38">
        <f>'Э1 (СЗ) (2)'!T27+'Э2 (СЗ) (2)'!T27+'Э3 (СЗ) (2)'!T27+'Э4 (СЗ) (2)'!T27</f>
        <v>0</v>
      </c>
      <c r="U22" s="38">
        <f>'Э1 (СЗ) (2)'!U27+'Э2 (СЗ) (2)'!U27+'Э3 (СЗ) (2)'!U27+'Э4 (СЗ) (2)'!U27</f>
        <v>-2502.7797865675784</v>
      </c>
      <c r="V22" s="38">
        <f>'Э1 (СЗ) (2)'!V27+'Э2 (СЗ) (2)'!V27+'Э3 (СЗ) (2)'!V27+'Э4 (СЗ) (2)'!V27</f>
        <v>0</v>
      </c>
      <c r="W22" s="38">
        <f>'Э1 (СЗ) (2)'!W27+'Э2 (СЗ) (2)'!W27+'Э3 (СЗ) (2)'!W27+'Э4 (СЗ) (2)'!W27</f>
        <v>0</v>
      </c>
      <c r="X22" s="38">
        <f>'Э1 (СЗ) (2)'!X27+'Э2 (СЗ) (2)'!X27+'Э3 (СЗ) (2)'!X27+'Э4 (СЗ) (2)'!X27</f>
        <v>0</v>
      </c>
      <c r="Y22" s="38">
        <f>'Э1 (СЗ) (2)'!Y27+'Э2 (СЗ) (2)'!Y27+'Э3 (СЗ) (2)'!Y27+'Э4 (СЗ) (2)'!Y27</f>
        <v>0</v>
      </c>
      <c r="Z22" s="38">
        <f>'Э1 (СЗ) (2)'!Z27+'Э2 (СЗ) (2)'!Z27+'Э3 (СЗ) (2)'!Z27+'Э4 (СЗ) (2)'!Z27</f>
        <v>0</v>
      </c>
    </row>
    <row r="23" spans="1:26" x14ac:dyDescent="0.2">
      <c r="A23" s="9" t="s">
        <v>126</v>
      </c>
      <c r="B23" s="4">
        <f t="shared" si="2"/>
        <v>-17135.176572556877</v>
      </c>
      <c r="C23" s="38">
        <f>'Э1 (СЗ) (2)'!C28+'Э2 (СЗ) (2)'!C28+'Э3 (СЗ) (2)'!C28+'Э4 (СЗ) (2)'!C28</f>
        <v>0</v>
      </c>
      <c r="D23" s="38">
        <f>'Э1 (СЗ) (2)'!D28+'Э2 (СЗ) (2)'!D28+'Э3 (СЗ) (2)'!D28+'Э4 (СЗ) (2)'!D28</f>
        <v>0</v>
      </c>
      <c r="E23" s="38">
        <f>'Э1 (СЗ) (2)'!E28+'Э2 (СЗ) (2)'!E28+'Э3 (СЗ) (2)'!E28+'Э4 (СЗ) (2)'!E28</f>
        <v>0</v>
      </c>
      <c r="F23" s="38">
        <f>'Э1 (СЗ) (2)'!F28+'Э2 (СЗ) (2)'!F28+'Э3 (СЗ) (2)'!F28+'Э4 (СЗ) (2)'!F28</f>
        <v>0</v>
      </c>
      <c r="G23" s="38">
        <f>'Э1 (СЗ) (2)'!G28+'Э2 (СЗ) (2)'!G28+'Э3 (СЗ) (2)'!G28+'Э4 (СЗ) (2)'!G28</f>
        <v>0</v>
      </c>
      <c r="H23" s="38">
        <f>'Э1 (СЗ) (2)'!H28+'Э2 (СЗ) (2)'!H28+'Э3 (СЗ) (2)'!H28+'Э4 (СЗ) (2)'!H28</f>
        <v>-819.15412500000002</v>
      </c>
      <c r="I23" s="38">
        <f>'Э1 (СЗ) (2)'!I28+'Э2 (СЗ) (2)'!I28+'Э3 (СЗ) (2)'!I28+'Э4 (СЗ) (2)'!I28</f>
        <v>-819.15412500000002</v>
      </c>
      <c r="J23" s="38">
        <f>'Э1 (СЗ) (2)'!J28+'Э2 (СЗ) (2)'!J28+'Э3 (СЗ) (2)'!J28+'Э4 (СЗ) (2)'!J28</f>
        <v>-1662.8828737500003</v>
      </c>
      <c r="K23" s="38">
        <f>'Э1 (СЗ) (2)'!K28+'Э2 (СЗ) (2)'!K28+'Э3 (СЗ) (2)'!K28+'Э4 (СЗ) (2)'!K28</f>
        <v>-1662.8828737500003</v>
      </c>
      <c r="L23" s="38">
        <f>'Э1 (СЗ) (2)'!L28+'Э2 (СЗ) (2)'!L28+'Э3 (СЗ) (2)'!L28+'Э4 (СЗ) (2)'!L28</f>
        <v>-2531.9234849625004</v>
      </c>
      <c r="M23" s="38">
        <f>'Э1 (СЗ) (2)'!M28+'Э2 (СЗ) (2)'!M28+'Э3 (СЗ) (2)'!M28+'Э4 (СЗ) (2)'!M28</f>
        <v>-1712.7693599625004</v>
      </c>
      <c r="N23" s="38">
        <f>'Э1 (СЗ) (2)'!N28+'Э2 (СЗ) (2)'!N28+'Э3 (СЗ) (2)'!N28+'Э4 (СЗ) (2)'!N28</f>
        <v>-2607.8811895113754</v>
      </c>
      <c r="O23" s="38">
        <f>'Э1 (СЗ) (2)'!O28+'Э2 (СЗ) (2)'!O28+'Э3 (СЗ) (2)'!O28+'Э4 (СЗ) (2)'!O28</f>
        <v>-1764.1524407613751</v>
      </c>
      <c r="P23" s="38">
        <f>'Э1 (СЗ) (2)'!P28+'Э2 (СЗ) (2)'!P28+'Э3 (СЗ) (2)'!P28+'Э4 (СЗ) (2)'!P28</f>
        <v>-1764.1524407613751</v>
      </c>
      <c r="Q23" s="38">
        <f>'Э1 (СЗ) (2)'!Q28+'Э2 (СЗ) (2)'!Q28+'Э3 (СЗ) (2)'!Q28+'Э4 (СЗ) (2)'!Q28</f>
        <v>-895.11182954887499</v>
      </c>
      <c r="R23" s="38">
        <f>'Э1 (СЗ) (2)'!R28+'Э2 (СЗ) (2)'!R28+'Э3 (СЗ) (2)'!R28+'Э4 (СЗ) (2)'!R28</f>
        <v>-895.11182954887499</v>
      </c>
      <c r="S23" s="38">
        <f>'Э1 (СЗ) (2)'!S28+'Э2 (СЗ) (2)'!S28+'Э3 (СЗ) (2)'!S28+'Э4 (СЗ) (2)'!S28</f>
        <v>0</v>
      </c>
      <c r="T23" s="38">
        <f>'Э1 (СЗ) (2)'!T28+'Э2 (СЗ) (2)'!T28+'Э3 (СЗ) (2)'!T28+'Э4 (СЗ) (2)'!T28</f>
        <v>0</v>
      </c>
      <c r="U23" s="38">
        <f>'Э1 (СЗ) (2)'!U28+'Э2 (СЗ) (2)'!U28+'Э3 (СЗ) (2)'!U28+'Э4 (СЗ) (2)'!U28</f>
        <v>0</v>
      </c>
      <c r="V23" s="38">
        <f>'Э1 (СЗ) (2)'!V28+'Э2 (СЗ) (2)'!V28+'Э3 (СЗ) (2)'!V28+'Э4 (СЗ) (2)'!V28</f>
        <v>0</v>
      </c>
      <c r="W23" s="38"/>
      <c r="X23" s="38"/>
      <c r="Y23" s="38"/>
      <c r="Z23" s="38"/>
    </row>
    <row r="24" spans="1:26" x14ac:dyDescent="0.2">
      <c r="A24" s="9" t="s">
        <v>125</v>
      </c>
      <c r="B24" s="4">
        <f t="shared" si="2"/>
        <v>-17135.176572556873</v>
      </c>
      <c r="C24" s="38">
        <f>'Э1 (СЗ) (2)'!C29+'Э2 (СЗ) (2)'!C29+'Э3 (СЗ) (2)'!C29+'Э4 (СЗ) (2)'!C29</f>
        <v>0</v>
      </c>
      <c r="D24" s="38">
        <f>'Э1 (СЗ) (2)'!D29+'Э2 (СЗ) (2)'!D29+'Э3 (СЗ) (2)'!D29+'Э4 (СЗ) (2)'!D29</f>
        <v>0</v>
      </c>
      <c r="E24" s="38">
        <f>'Э1 (СЗ) (2)'!E29+'Э2 (СЗ) (2)'!E29+'Э3 (СЗ) (2)'!E29+'Э4 (СЗ) (2)'!E29</f>
        <v>0</v>
      </c>
      <c r="F24" s="38">
        <f>'Э1 (СЗ) (2)'!F29+'Э2 (СЗ) (2)'!F29+'Э3 (СЗ) (2)'!F29+'Э4 (СЗ) (2)'!F29</f>
        <v>0</v>
      </c>
      <c r="G24" s="38">
        <f>'Э1 (СЗ) (2)'!G29+'Э2 (СЗ) (2)'!G29+'Э3 (СЗ) (2)'!G29+'Э4 (СЗ) (2)'!G29</f>
        <v>0</v>
      </c>
      <c r="H24" s="38">
        <f>'Э1 (СЗ) (2)'!H29+'Э2 (СЗ) (2)'!H29+'Э3 (СЗ) (2)'!H29+'Э4 (СЗ) (2)'!H29</f>
        <v>-4095.7706250000001</v>
      </c>
      <c r="I24" s="38">
        <f>'Э1 (СЗ) (2)'!I29+'Э2 (СЗ) (2)'!I29+'Э3 (СЗ) (2)'!I29+'Э4 (СЗ) (2)'!I29</f>
        <v>0</v>
      </c>
      <c r="J24" s="38">
        <f>'Э1 (СЗ) (2)'!J29+'Э2 (СЗ) (2)'!J29+'Э3 (СЗ) (2)'!J29+'Э4 (СЗ) (2)'!J29</f>
        <v>-4218.6437437499999</v>
      </c>
      <c r="K24" s="38">
        <f>'Э1 (СЗ) (2)'!K29+'Э2 (СЗ) (2)'!K29+'Э3 (СЗ) (2)'!K29+'Э4 (СЗ) (2)'!K29</f>
        <v>0</v>
      </c>
      <c r="L24" s="38">
        <f>'Э1 (СЗ) (2)'!L29+'Э2 (СЗ) (2)'!L29+'Э3 (СЗ) (2)'!L29+'Э4 (СЗ) (2)'!L29</f>
        <v>-4345.2030560624999</v>
      </c>
      <c r="M24" s="38">
        <f>'Э1 (СЗ) (2)'!M29+'Э2 (СЗ) (2)'!M29+'Э3 (СЗ) (2)'!M29+'Э4 (СЗ) (2)'!M29</f>
        <v>0</v>
      </c>
      <c r="N24" s="38">
        <f>'Э1 (СЗ) (2)'!N29+'Э2 (СЗ) (2)'!N29+'Э3 (СЗ) (2)'!N29+'Э4 (СЗ) (2)'!N29</f>
        <v>-4475.559147744375</v>
      </c>
      <c r="O24" s="38">
        <f>'Э1 (СЗ) (2)'!O29+'Э2 (СЗ) (2)'!O29+'Э3 (СЗ) (2)'!O29+'Э4 (СЗ) (2)'!O29</f>
        <v>0</v>
      </c>
      <c r="P24" s="38">
        <f>'Э1 (СЗ) (2)'!P29+'Э2 (СЗ) (2)'!P29+'Э3 (СЗ) (2)'!P29+'Э4 (СЗ) (2)'!P29</f>
        <v>0</v>
      </c>
      <c r="Q24" s="38">
        <f>'Э1 (СЗ) (2)'!Q29+'Э2 (СЗ) (2)'!Q29+'Э3 (СЗ) (2)'!Q29+'Э4 (СЗ) (2)'!Q29</f>
        <v>0</v>
      </c>
      <c r="R24" s="38">
        <f>'Э1 (СЗ) (2)'!R29+'Э2 (СЗ) (2)'!R29+'Э3 (СЗ) (2)'!R29+'Э4 (СЗ) (2)'!R29</f>
        <v>0</v>
      </c>
      <c r="S24" s="38">
        <f>'Э1 (СЗ) (2)'!S29+'Э2 (СЗ) (2)'!S29+'Э3 (СЗ) (2)'!S29+'Э4 (СЗ) (2)'!S29</f>
        <v>0</v>
      </c>
      <c r="T24" s="38">
        <f>'Э1 (СЗ) (2)'!T29+'Э2 (СЗ) (2)'!T29+'Э3 (СЗ) (2)'!T29+'Э4 (СЗ) (2)'!T29</f>
        <v>0</v>
      </c>
      <c r="U24" s="38">
        <f>'Э1 (СЗ) (2)'!U29+'Э2 (СЗ) (2)'!U29+'Э3 (СЗ) (2)'!U29+'Э4 (СЗ) (2)'!U29</f>
        <v>0</v>
      </c>
      <c r="V24" s="38">
        <f>'Э1 (СЗ) (2)'!V29+'Э2 (СЗ) (2)'!V29+'Э3 (СЗ) (2)'!V29+'Э4 (СЗ) (2)'!V29</f>
        <v>0</v>
      </c>
      <c r="W24" s="38"/>
      <c r="X24" s="38"/>
      <c r="Y24" s="38"/>
      <c r="Z24" s="38"/>
    </row>
    <row r="25" spans="1:26" s="44" customFormat="1" x14ac:dyDescent="0.2">
      <c r="A25" s="43" t="s">
        <v>41</v>
      </c>
      <c r="B25" s="49"/>
      <c r="C25" s="49">
        <f t="shared" ref="C25:Z25" si="5">B39+C11+C17</f>
        <v>0</v>
      </c>
      <c r="D25" s="49">
        <f t="shared" si="5"/>
        <v>0</v>
      </c>
      <c r="E25" s="49">
        <f t="shared" si="5"/>
        <v>0</v>
      </c>
      <c r="F25" s="49">
        <f t="shared" si="5"/>
        <v>0</v>
      </c>
      <c r="G25" s="49">
        <f t="shared" si="5"/>
        <v>0</v>
      </c>
      <c r="H25" s="49">
        <f t="shared" si="5"/>
        <v>-11557.780171989725</v>
      </c>
      <c r="I25" s="49">
        <f t="shared" si="5"/>
        <v>-7013.5018791725597</v>
      </c>
      <c r="J25" s="49">
        <f t="shared" si="5"/>
        <v>-20695.783364652074</v>
      </c>
      <c r="K25" s="49">
        <f t="shared" si="5"/>
        <v>-15486.071177877137</v>
      </c>
      <c r="L25" s="49">
        <f t="shared" si="5"/>
        <v>-31376.113167436939</v>
      </c>
      <c r="M25" s="49">
        <f t="shared" si="5"/>
        <v>57016.577575309959</v>
      </c>
      <c r="N25" s="49">
        <f t="shared" si="5"/>
        <v>32529.792469641194</v>
      </c>
      <c r="O25" s="49">
        <f t="shared" si="5"/>
        <v>137497.88696725084</v>
      </c>
      <c r="P25" s="49">
        <f t="shared" si="5"/>
        <v>134038.32970581483</v>
      </c>
      <c r="Q25" s="49">
        <f t="shared" si="5"/>
        <v>149391.70127424566</v>
      </c>
      <c r="R25" s="49">
        <f t="shared" si="5"/>
        <v>145441.50726367551</v>
      </c>
      <c r="S25" s="49">
        <f t="shared" si="5"/>
        <v>163451.81063859881</v>
      </c>
      <c r="T25" s="49">
        <f t="shared" si="5"/>
        <v>172980.91319433835</v>
      </c>
      <c r="U25" s="49">
        <f t="shared" si="5"/>
        <v>72217.809584501942</v>
      </c>
      <c r="V25" s="49">
        <f t="shared" si="5"/>
        <v>87795.852251005388</v>
      </c>
      <c r="W25" s="49">
        <f t="shared" si="5"/>
        <v>0</v>
      </c>
      <c r="X25" s="49">
        <f t="shared" si="5"/>
        <v>0</v>
      </c>
      <c r="Y25" s="49">
        <f t="shared" si="5"/>
        <v>0</v>
      </c>
      <c r="Z25" s="49">
        <f t="shared" si="5"/>
        <v>0</v>
      </c>
    </row>
    <row r="26" spans="1:26" x14ac:dyDescent="0.2">
      <c r="A26" s="9" t="s">
        <v>61</v>
      </c>
      <c r="B26" s="4">
        <f>SUM(C26:Z26)</f>
        <v>-1615481.9435136574</v>
      </c>
      <c r="C26" s="38">
        <f>'Э1 (СЗ) (2)'!C31+'Э2 (СЗ) (2)'!C31+'Э3 (СЗ) (2)'!C31+'Э4 (СЗ) (2)'!C31</f>
        <v>0</v>
      </c>
      <c r="D26" s="38">
        <f>'Э1 (СЗ) (2)'!D31+'Э2 (СЗ) (2)'!D31+'Э3 (СЗ) (2)'!D31+'Э4 (СЗ) (2)'!D31</f>
        <v>0</v>
      </c>
      <c r="E26" s="38">
        <f>'Э1 (СЗ) (2)'!E31+'Э2 (СЗ) (2)'!E31+'Э3 (СЗ) (2)'!E31+'Э4 (СЗ) (2)'!E31</f>
        <v>0</v>
      </c>
      <c r="F26" s="38">
        <f>'Э1 (СЗ) (2)'!F31+'Э2 (СЗ) (2)'!F31+'Э3 (СЗ) (2)'!F31+'Э4 (СЗ) (2)'!F31</f>
        <v>0</v>
      </c>
      <c r="G26" s="38">
        <f>'Э1 (СЗ) (2)'!G31+'Э2 (СЗ) (2)'!G31+'Э3 (СЗ) (2)'!G31+'Э4 (СЗ) (2)'!G31</f>
        <v>0</v>
      </c>
      <c r="H26" s="38">
        <f>'Э1 (СЗ) (2)'!H31+'Э2 (СЗ) (2)'!H31+'Э3 (СЗ) (2)'!H31+'Э4 (СЗ) (2)'!H31</f>
        <v>-77220.12273475487</v>
      </c>
      <c r="I26" s="38">
        <f>'Э1 (СЗ) (2)'!I31+'Э2 (СЗ) (2)'!I31+'Э3 (СЗ) (2)'!I31+'Э4 (СЗ) (2)'!I31</f>
        <v>-78957.575496286852</v>
      </c>
      <c r="J26" s="38">
        <f>'Э1 (СЗ) (2)'!J31+'Э2 (СЗ) (2)'!J31+'Э3 (СЗ) (2)'!J31+'Э4 (СЗ) (2)'!J31</f>
        <v>-157954.24367970816</v>
      </c>
      <c r="K26" s="38">
        <f>'Э1 (СЗ) (2)'!K31+'Э2 (СЗ) (2)'!K31+'Э3 (СЗ) (2)'!K31+'Э4 (СЗ) (2)'!K31</f>
        <v>-161508.21416250162</v>
      </c>
      <c r="L26" s="38">
        <f>'Э1 (СЗ) (2)'!L31+'Э2 (СЗ) (2)'!L31+'Э3 (СЗ) (2)'!L31+'Э4 (СЗ) (2)'!L31</f>
        <v>-242362.27171591276</v>
      </c>
      <c r="M26" s="38">
        <f>'Э1 (СЗ) (2)'!M31+'Э2 (СЗ) (2)'!M31+'Э3 (СЗ) (2)'!M31+'Э4 (СЗ) (2)'!M31</f>
        <v>-161508.21416250162</v>
      </c>
      <c r="N26" s="38">
        <f>'Э1 (СЗ) (2)'!N31+'Э2 (СЗ) (2)'!N31+'Э3 (СЗ) (2)'!N31+'Э4 (СЗ) (2)'!N31</f>
        <v>-242362.27171591276</v>
      </c>
      <c r="O26" s="38">
        <f>'Э1 (СЗ) (2)'!O31+'Э2 (СЗ) (2)'!O31+'Э3 (СЗ) (2)'!O31+'Э4 (СЗ) (2)'!O31</f>
        <v>-161508.21416250162</v>
      </c>
      <c r="P26" s="38">
        <f>'Э1 (СЗ) (2)'!P31+'Э2 (СЗ) (2)'!P31+'Э3 (СЗ) (2)'!P31+'Э4 (СЗ) (2)'!P31</f>
        <v>-165142.14898115789</v>
      </c>
      <c r="Q26" s="38">
        <f>'Э1 (СЗ) (2)'!Q31+'Э2 (СЗ) (2)'!Q31+'Э3 (СЗ) (2)'!Q31+'Э4 (СЗ) (2)'!Q31</f>
        <v>-82550.638666214756</v>
      </c>
      <c r="R26" s="38">
        <f>'Э1 (СЗ) (2)'!R31+'Э2 (СЗ) (2)'!R31+'Э3 (СЗ) (2)'!R31+'Э4 (СЗ) (2)'!R31</f>
        <v>-84408.028036204589</v>
      </c>
      <c r="S26" s="38">
        <f>'Э1 (СЗ) (2)'!S31+'Э2 (СЗ) (2)'!S31+'Э3 (СЗ) (2)'!S31+'Э4 (СЗ) (2)'!S31</f>
        <v>0</v>
      </c>
      <c r="T26" s="38">
        <f>'Э1 (СЗ) (2)'!T31+'Э2 (СЗ) (2)'!T31+'Э3 (СЗ) (2)'!T31+'Э4 (СЗ) (2)'!T31</f>
        <v>0</v>
      </c>
      <c r="U26" s="38">
        <f>'Э1 (СЗ) (2)'!U31+'Э2 (СЗ) (2)'!U31+'Э3 (СЗ) (2)'!U31+'Э4 (СЗ) (2)'!U31</f>
        <v>0</v>
      </c>
      <c r="V26" s="38">
        <f>'Э1 (СЗ) (2)'!V31+'Э2 (СЗ) (2)'!V31+'Э3 (СЗ) (2)'!V31+'Э4 (СЗ) (2)'!V31</f>
        <v>0</v>
      </c>
      <c r="W26" s="38">
        <f>'Э1 (СЗ) (2)'!W31+'Э2 (СЗ) (2)'!W31+'Э3 (СЗ) (2)'!W31+'Э4 (СЗ) (2)'!W31</f>
        <v>0</v>
      </c>
      <c r="X26" s="38">
        <f>'Э1 (СЗ) (2)'!X31+'Э2 (СЗ) (2)'!X31+'Э3 (СЗ) (2)'!X31+'Э4 (СЗ) (2)'!X31</f>
        <v>0</v>
      </c>
      <c r="Y26" s="38">
        <f>'Э1 (СЗ) (2)'!Y31+'Э2 (СЗ) (2)'!Y31+'Э3 (СЗ) (2)'!Y31+'Э4 (СЗ) (2)'!Y31</f>
        <v>0</v>
      </c>
      <c r="Z26" s="38">
        <f>'Э1 (СЗ) (2)'!Z31+'Э2 (СЗ) (2)'!Z31+'Э3 (СЗ) (2)'!Z31+'Э4 (СЗ) (2)'!Z31</f>
        <v>0</v>
      </c>
    </row>
    <row r="27" spans="1:26" x14ac:dyDescent="0.2">
      <c r="A27" s="9" t="s">
        <v>26</v>
      </c>
      <c r="B27" s="4">
        <f>SUM(C27:Z27)</f>
        <v>1615481.9435136574</v>
      </c>
      <c r="C27" s="38">
        <f>'Э1 (СЗ) (2)'!C32+'Э2 (СЗ) (2)'!C32+'Э3 (СЗ) (2)'!C32+'Э4 (СЗ) (2)'!C32</f>
        <v>0</v>
      </c>
      <c r="D27" s="38">
        <f>'Э1 (СЗ) (2)'!D32+'Э2 (СЗ) (2)'!D32+'Э3 (СЗ) (2)'!D32+'Э4 (СЗ) (2)'!D32</f>
        <v>0</v>
      </c>
      <c r="E27" s="38">
        <f>'Э1 (СЗ) (2)'!E32+'Э2 (СЗ) (2)'!E32+'Э3 (СЗ) (2)'!E32+'Э4 (СЗ) (2)'!E32</f>
        <v>0</v>
      </c>
      <c r="F27" s="38">
        <f>'Э1 (СЗ) (2)'!F32+'Э2 (СЗ) (2)'!F32+'Э3 (СЗ) (2)'!F32+'Э4 (СЗ) (2)'!F32</f>
        <v>0</v>
      </c>
      <c r="G27" s="38">
        <f>'Э1 (СЗ) (2)'!G32+'Э2 (СЗ) (2)'!G32+'Э3 (СЗ) (2)'!G32+'Э4 (СЗ) (2)'!G32</f>
        <v>0</v>
      </c>
      <c r="H27" s="38">
        <f>'Э1 (СЗ) (2)'!H32+'Э2 (СЗ) (2)'!H32+'Э3 (СЗ) (2)'!H32+'Э4 (СЗ) (2)'!H32</f>
        <v>0</v>
      </c>
      <c r="I27" s="38">
        <f>'Э1 (СЗ) (2)'!I32+'Э2 (СЗ) (2)'!I32+'Э3 (СЗ) (2)'!I32+'Э4 (СЗ) (2)'!I32</f>
        <v>0</v>
      </c>
      <c r="J27" s="38">
        <f>'Э1 (СЗ) (2)'!J32+'Э2 (СЗ) (2)'!J32+'Э3 (СЗ) (2)'!J32+'Э4 (СЗ) (2)'!J32</f>
        <v>0</v>
      </c>
      <c r="K27" s="38">
        <f>'Э1 (СЗ) (2)'!K32+'Э2 (СЗ) (2)'!K32+'Э3 (СЗ) (2)'!K32+'Э4 (СЗ) (2)'!K32</f>
        <v>0</v>
      </c>
      <c r="L27" s="38">
        <f>'Э1 (СЗ) (2)'!L32+'Э2 (СЗ) (2)'!L32+'Э3 (СЗ) (2)'!L32+'Э4 (СЗ) (2)'!L32</f>
        <v>0</v>
      </c>
      <c r="M27" s="38">
        <f>'Э1 (СЗ) (2)'!M32+'Э2 (СЗ) (2)'!M32+'Э3 (СЗ) (2)'!M32+'Э4 (СЗ) (2)'!M32</f>
        <v>403870.48587841436</v>
      </c>
      <c r="N27" s="38">
        <f>'Э1 (СЗ) (2)'!N32+'Э2 (СЗ) (2)'!N32+'Э3 (СЗ) (2)'!N32+'Э4 (СЗ) (2)'!N32</f>
        <v>0</v>
      </c>
      <c r="O27" s="38">
        <f>'Э1 (СЗ) (2)'!O32+'Э2 (СЗ) (2)'!O32+'Э3 (СЗ) (2)'!O32+'Э4 (СЗ) (2)'!O32</f>
        <v>403870.48587841436</v>
      </c>
      <c r="P27" s="38">
        <f>'Э1 (СЗ) (2)'!P32+'Э2 (СЗ) (2)'!P32+'Э3 (СЗ) (2)'!P32+'Э4 (СЗ) (2)'!P32</f>
        <v>0</v>
      </c>
      <c r="Q27" s="38">
        <f>'Э1 (СЗ) (2)'!Q32+'Э2 (СЗ) (2)'!Q32+'Э3 (СЗ) (2)'!Q32+'Э4 (СЗ) (2)'!Q32</f>
        <v>403870.48587841436</v>
      </c>
      <c r="R27" s="38">
        <f>'Э1 (СЗ) (2)'!R32+'Э2 (СЗ) (2)'!R32+'Э3 (СЗ) (2)'!R32+'Э4 (СЗ) (2)'!R32</f>
        <v>0</v>
      </c>
      <c r="S27" s="38">
        <f>'Э1 (СЗ) (2)'!S32+'Э2 (СЗ) (2)'!S32+'Э3 (СЗ) (2)'!S32+'Э4 (СЗ) (2)'!S32</f>
        <v>403870.48587841436</v>
      </c>
      <c r="T27" s="38">
        <f>'Э1 (СЗ) (2)'!T32+'Э2 (СЗ) (2)'!T32+'Э3 (СЗ) (2)'!T32+'Э4 (СЗ) (2)'!T32</f>
        <v>0</v>
      </c>
      <c r="U27" s="38">
        <f>'Э1 (СЗ) (2)'!U32+'Э2 (СЗ) (2)'!U32+'Э3 (СЗ) (2)'!U32+'Э4 (СЗ) (2)'!U32</f>
        <v>0</v>
      </c>
      <c r="V27" s="38">
        <f>'Э1 (СЗ) (2)'!V32+'Э2 (СЗ) (2)'!V32+'Э3 (СЗ) (2)'!V32+'Э4 (СЗ) (2)'!V32</f>
        <v>0</v>
      </c>
      <c r="W27" s="38">
        <f>'Э1 (СЗ) (2)'!W32+'Э2 (СЗ) (2)'!W32+'Э3 (СЗ) (2)'!W32+'Э4 (СЗ) (2)'!W32</f>
        <v>0</v>
      </c>
      <c r="X27" s="38">
        <f>'Э1 (СЗ) (2)'!X32+'Э2 (СЗ) (2)'!X32+'Э3 (СЗ) (2)'!X32+'Э4 (СЗ) (2)'!X32</f>
        <v>0</v>
      </c>
      <c r="Y27" s="38">
        <f>'Э1 (СЗ) (2)'!Y32+'Э2 (СЗ) (2)'!Y32+'Э3 (СЗ) (2)'!Y32+'Э4 (СЗ) (2)'!Y32</f>
        <v>0</v>
      </c>
      <c r="Z27" s="38">
        <f>'Э1 (СЗ) (2)'!Z32+'Э2 (СЗ) (2)'!Z32+'Э3 (СЗ) (2)'!Z32+'Э4 (СЗ) (2)'!Z32</f>
        <v>0</v>
      </c>
    </row>
    <row r="28" spans="1:26" s="28" customFormat="1" x14ac:dyDescent="0.2">
      <c r="A28" s="29" t="s">
        <v>62</v>
      </c>
      <c r="B28" s="65"/>
      <c r="C28" s="42">
        <f t="shared" ref="C28:V28" si="6">B28+C26+C27</f>
        <v>0</v>
      </c>
      <c r="D28" s="42">
        <f t="shared" si="6"/>
        <v>0</v>
      </c>
      <c r="E28" s="42">
        <f t="shared" si="6"/>
        <v>0</v>
      </c>
      <c r="F28" s="42">
        <f t="shared" si="6"/>
        <v>0</v>
      </c>
      <c r="G28" s="42">
        <f t="shared" si="6"/>
        <v>0</v>
      </c>
      <c r="H28" s="42">
        <f t="shared" si="6"/>
        <v>-77220.12273475487</v>
      </c>
      <c r="I28" s="42">
        <f t="shared" si="6"/>
        <v>-156177.69823104172</v>
      </c>
      <c r="J28" s="42">
        <f t="shared" si="6"/>
        <v>-314131.94191074988</v>
      </c>
      <c r="K28" s="42">
        <f t="shared" si="6"/>
        <v>-475640.15607325151</v>
      </c>
      <c r="L28" s="42">
        <f t="shared" si="6"/>
        <v>-718002.42778916424</v>
      </c>
      <c r="M28" s="42">
        <f t="shared" si="6"/>
        <v>-475640.15607325151</v>
      </c>
      <c r="N28" s="42">
        <f t="shared" si="6"/>
        <v>-718002.42778916424</v>
      </c>
      <c r="O28" s="42">
        <f t="shared" si="6"/>
        <v>-475640.15607325151</v>
      </c>
      <c r="P28" s="42">
        <f t="shared" si="6"/>
        <v>-640782.30505440943</v>
      </c>
      <c r="Q28" s="42">
        <f t="shared" si="6"/>
        <v>-319462.45784220984</v>
      </c>
      <c r="R28" s="42">
        <f t="shared" si="6"/>
        <v>-403870.48587841442</v>
      </c>
      <c r="S28" s="42">
        <f t="shared" si="6"/>
        <v>0</v>
      </c>
      <c r="T28" s="42">
        <f t="shared" si="6"/>
        <v>0</v>
      </c>
      <c r="U28" s="42">
        <f t="shared" si="6"/>
        <v>0</v>
      </c>
      <c r="V28" s="42">
        <f t="shared" si="6"/>
        <v>0</v>
      </c>
      <c r="W28" s="42"/>
      <c r="X28" s="42"/>
      <c r="Y28" s="42"/>
      <c r="Z28" s="42"/>
    </row>
    <row r="29" spans="1:26" s="44" customFormat="1" x14ac:dyDescent="0.2">
      <c r="A29" s="43" t="s">
        <v>27</v>
      </c>
      <c r="B29" s="49"/>
      <c r="C29" s="49">
        <f t="shared" ref="C29:Z29" si="7">C25+C26+C27</f>
        <v>0</v>
      </c>
      <c r="D29" s="49">
        <f t="shared" si="7"/>
        <v>0</v>
      </c>
      <c r="E29" s="49">
        <f t="shared" si="7"/>
        <v>0</v>
      </c>
      <c r="F29" s="49">
        <f t="shared" si="7"/>
        <v>0</v>
      </c>
      <c r="G29" s="49">
        <f t="shared" si="7"/>
        <v>0</v>
      </c>
      <c r="H29" s="49">
        <f t="shared" si="7"/>
        <v>-88777.902906744595</v>
      </c>
      <c r="I29" s="49">
        <f t="shared" si="7"/>
        <v>-85971.077375459412</v>
      </c>
      <c r="J29" s="49">
        <f t="shared" si="7"/>
        <v>-178650.02704436023</v>
      </c>
      <c r="K29" s="49">
        <f t="shared" si="7"/>
        <v>-176994.28534037876</v>
      </c>
      <c r="L29" s="49">
        <f t="shared" si="7"/>
        <v>-273738.3848833497</v>
      </c>
      <c r="M29" s="49">
        <f t="shared" si="7"/>
        <v>299378.84929122269</v>
      </c>
      <c r="N29" s="49">
        <f t="shared" si="7"/>
        <v>-209832.47924627157</v>
      </c>
      <c r="O29" s="49">
        <f t="shared" si="7"/>
        <v>379860.15868316358</v>
      </c>
      <c r="P29" s="49">
        <f t="shared" si="7"/>
        <v>-31103.819275343063</v>
      </c>
      <c r="Q29" s="49">
        <f t="shared" si="7"/>
        <v>470711.54848644527</v>
      </c>
      <c r="R29" s="49">
        <f t="shared" si="7"/>
        <v>61033.479227470918</v>
      </c>
      <c r="S29" s="49">
        <f t="shared" si="7"/>
        <v>567322.29651701311</v>
      </c>
      <c r="T29" s="49">
        <f t="shared" si="7"/>
        <v>172980.91319433835</v>
      </c>
      <c r="U29" s="49">
        <f t="shared" si="7"/>
        <v>72217.809584501942</v>
      </c>
      <c r="V29" s="49">
        <f t="shared" si="7"/>
        <v>87795.852251005388</v>
      </c>
      <c r="W29" s="49">
        <f t="shared" si="7"/>
        <v>0</v>
      </c>
      <c r="X29" s="49">
        <f t="shared" si="7"/>
        <v>0</v>
      </c>
      <c r="Y29" s="49">
        <f t="shared" si="7"/>
        <v>0</v>
      </c>
      <c r="Z29" s="49">
        <f t="shared" si="7"/>
        <v>0</v>
      </c>
    </row>
    <row r="30" spans="1:26" x14ac:dyDescent="0.2">
      <c r="A30" s="9" t="s">
        <v>42</v>
      </c>
      <c r="B30" s="4">
        <f>SUM(C30:Z30)</f>
        <v>1843381.0047705364</v>
      </c>
      <c r="C30" s="38">
        <f>'Э1 (СЗ) (2)'!C35+'Э2 (СЗ) (2)'!C35+'Э3 (СЗ) (2)'!C35+'Э4 (СЗ) (2)'!C35</f>
        <v>0</v>
      </c>
      <c r="D30" s="38">
        <f>'Э1 (СЗ) (2)'!D35+'Э2 (СЗ) (2)'!D35+'Э3 (СЗ) (2)'!D35+'Э4 (СЗ) (2)'!D35</f>
        <v>0</v>
      </c>
      <c r="E30" s="38">
        <f>'Э1 (СЗ) (2)'!E35+'Э2 (СЗ) (2)'!E35+'Э3 (СЗ) (2)'!E35+'Э4 (СЗ) (2)'!E35</f>
        <v>0</v>
      </c>
      <c r="F30" s="38">
        <f>'Э1 (СЗ) (2)'!F35+'Э2 (СЗ) (2)'!F35+'Э3 (СЗ) (2)'!F35+'Э4 (СЗ) (2)'!F35</f>
        <v>0</v>
      </c>
      <c r="G30" s="38">
        <f>'Э1 (СЗ) (2)'!G35+'Э2 (СЗ) (2)'!G35+'Э3 (СЗ) (2)'!G35+'Э4 (СЗ) (2)'!G35</f>
        <v>0</v>
      </c>
      <c r="H30" s="38">
        <f>'Э1 (СЗ) (2)'!H35+'Э2 (СЗ) (2)'!H35+'Э3 (СЗ) (2)'!H35+'Э4 (СЗ) (2)'!H35</f>
        <v>88777.902906744595</v>
      </c>
      <c r="I30" s="38">
        <f>'Э1 (СЗ) (2)'!I35+'Э2 (СЗ) (2)'!I35+'Э3 (СЗ) (2)'!I35+'Э4 (СЗ) (2)'!I35</f>
        <v>85971.077375459412</v>
      </c>
      <c r="J30" s="38">
        <f>'Э1 (СЗ) (2)'!J35+'Э2 (СЗ) (2)'!J35+'Э3 (СЗ) (2)'!J35+'Э4 (СЗ) (2)'!J35</f>
        <v>178650.02704436023</v>
      </c>
      <c r="K30" s="38">
        <f>'Э1 (СЗ) (2)'!K35+'Э2 (СЗ) (2)'!K35+'Э3 (СЗ) (2)'!K35+'Э4 (СЗ) (2)'!K35</f>
        <v>176994.28534037876</v>
      </c>
      <c r="L30" s="38">
        <f>'Э1 (СЗ) (2)'!L35+'Э2 (СЗ) (2)'!L35+'Э3 (СЗ) (2)'!L35+'Э4 (СЗ) (2)'!L35</f>
        <v>273738.38488334964</v>
      </c>
      <c r="M30" s="38">
        <f>'Э1 (СЗ) (2)'!M35+'Э2 (СЗ) (2)'!M35+'Э3 (СЗ) (2)'!M35+'Э4 (СЗ) (2)'!M35</f>
        <v>182503.60496254693</v>
      </c>
      <c r="N30" s="38">
        <f>'Э1 (СЗ) (2)'!N35+'Э2 (СЗ) (2)'!N35+'Э3 (СЗ) (2)'!N35+'Э4 (СЗ) (2)'!N35</f>
        <v>282253.2715130733</v>
      </c>
      <c r="O30" s="38">
        <f>'Э1 (СЗ) (2)'!O35+'Э2 (СЗ) (2)'!O35+'Э3 (СЗ) (2)'!O35+'Э4 (СЗ) (2)'!O35</f>
        <v>188178.20417338013</v>
      </c>
      <c r="P30" s="38">
        <f>'Э1 (СЗ) (2)'!P35+'Э2 (СЗ) (2)'!P35+'Э3 (СЗ) (2)'!P35+'Э4 (СЗ) (2)'!P35</f>
        <v>190936.4852970565</v>
      </c>
      <c r="Q30" s="38">
        <f>'Э1 (СЗ) (2)'!Q35+'Э2 (СЗ) (2)'!Q35+'Э3 (СЗ) (2)'!Q35+'Э4 (СЗ) (2)'!Q35</f>
        <v>96974.072330920899</v>
      </c>
      <c r="R30" s="38">
        <f>'Э1 (СЗ) (2)'!R35+'Э2 (СЗ) (2)'!R35+'Э3 (СЗ) (2)'!R35+'Э4 (СЗ) (2)'!R35</f>
        <v>98403.688943266025</v>
      </c>
      <c r="S30" s="38">
        <f>'Э1 (СЗ) (2)'!S35+'Э2 (СЗ) (2)'!S35+'Э3 (СЗ) (2)'!S35+'Э4 (СЗ) (2)'!S35</f>
        <v>0</v>
      </c>
      <c r="T30" s="38">
        <f>'Э1 (СЗ) (2)'!T35+'Э2 (СЗ) (2)'!T35+'Э3 (СЗ) (2)'!T35+'Э4 (СЗ) (2)'!T35</f>
        <v>0</v>
      </c>
      <c r="U30" s="38">
        <f>'Э1 (СЗ) (2)'!U35+'Э2 (СЗ) (2)'!U35+'Э3 (СЗ) (2)'!U35+'Э4 (СЗ) (2)'!U35</f>
        <v>0</v>
      </c>
      <c r="V30" s="38">
        <f>'Э1 (СЗ) (2)'!V35+'Э2 (СЗ) (2)'!V35+'Э3 (СЗ) (2)'!V35+'Э4 (СЗ) (2)'!V35</f>
        <v>0</v>
      </c>
      <c r="W30" s="38">
        <f>'Э1 (СЗ) (2)'!W35+'Э2 (СЗ) (2)'!W35+'Э3 (СЗ) (2)'!W35+'Э4 (СЗ) (2)'!W35</f>
        <v>0</v>
      </c>
      <c r="X30" s="38">
        <f>'Э1 (СЗ) (2)'!X35+'Э2 (СЗ) (2)'!X35+'Э3 (СЗ) (2)'!X35+'Э4 (СЗ) (2)'!X35</f>
        <v>0</v>
      </c>
      <c r="Y30" s="38">
        <f>'Э1 (СЗ) (2)'!Y35+'Э2 (СЗ) (2)'!Y35+'Э3 (СЗ) (2)'!Y35+'Э4 (СЗ) (2)'!Y35</f>
        <v>0</v>
      </c>
      <c r="Z30" s="38">
        <f>'Э1 (СЗ) (2)'!Z35+'Э2 (СЗ) (2)'!Z35+'Э3 (СЗ) (2)'!Z35+'Э4 (СЗ) (2)'!Z35</f>
        <v>0</v>
      </c>
    </row>
    <row r="31" spans="1:26" x14ac:dyDescent="0.2">
      <c r="A31" s="9" t="s">
        <v>43</v>
      </c>
      <c r="B31" s="4">
        <f>SUM(C31:Z31)</f>
        <v>-1843381.0047705364</v>
      </c>
      <c r="C31" s="38">
        <f>'Э1 (СЗ) (2)'!C36+'Э2 (СЗ) (2)'!C36+'Э3 (СЗ) (2)'!C36+'Э4 (СЗ) (2)'!C36</f>
        <v>0</v>
      </c>
      <c r="D31" s="38">
        <f>'Э1 (СЗ) (2)'!D36+'Э2 (СЗ) (2)'!D36+'Э3 (СЗ) (2)'!D36+'Э4 (СЗ) (2)'!D36</f>
        <v>0</v>
      </c>
      <c r="E31" s="38">
        <f>'Э1 (СЗ) (2)'!E36+'Э2 (СЗ) (2)'!E36+'Э3 (СЗ) (2)'!E36+'Э4 (СЗ) (2)'!E36</f>
        <v>0</v>
      </c>
      <c r="F31" s="38">
        <f>'Э1 (СЗ) (2)'!F36+'Э2 (СЗ) (2)'!F36+'Э3 (СЗ) (2)'!F36+'Э4 (СЗ) (2)'!F36</f>
        <v>0</v>
      </c>
      <c r="G31" s="38">
        <f>'Э1 (СЗ) (2)'!G36+'Э2 (СЗ) (2)'!G36+'Э3 (СЗ) (2)'!G36+'Э4 (СЗ) (2)'!G36</f>
        <v>0</v>
      </c>
      <c r="H31" s="38">
        <f>'Э1 (СЗ) (2)'!H36+'Э2 (СЗ) (2)'!H36+'Э3 (СЗ) (2)'!H36+'Э4 (СЗ) (2)'!H36</f>
        <v>0</v>
      </c>
      <c r="I31" s="38">
        <f>'Э1 (СЗ) (2)'!I36+'Э2 (СЗ) (2)'!I36+'Э3 (СЗ) (2)'!I36+'Э4 (СЗ) (2)'!I36</f>
        <v>0</v>
      </c>
      <c r="J31" s="38">
        <f>'Э1 (СЗ) (2)'!J36+'Э2 (СЗ) (2)'!J36+'Э3 (СЗ) (2)'!J36+'Э4 (СЗ) (2)'!J36</f>
        <v>0</v>
      </c>
      <c r="K31" s="38">
        <f>'Э1 (СЗ) (2)'!K36+'Э2 (СЗ) (2)'!K36+'Э3 (СЗ) (2)'!K36+'Э4 (СЗ) (2)'!K36</f>
        <v>0</v>
      </c>
      <c r="L31" s="38">
        <f>'Э1 (СЗ) (2)'!L36+'Э2 (СЗ) (2)'!L36+'Э3 (СЗ) (2)'!L36+'Э4 (СЗ) (2)'!L36</f>
        <v>0</v>
      </c>
      <c r="M31" s="38">
        <f>'Э1 (СЗ) (2)'!M36+'Э2 (СЗ) (2)'!M36+'Э3 (СЗ) (2)'!M36+'Э4 (СЗ) (2)'!M36</f>
        <v>-439883.12742950185</v>
      </c>
      <c r="N31" s="38">
        <f>'Э1 (СЗ) (2)'!N36+'Э2 (СЗ) (2)'!N36+'Э3 (СЗ) (2)'!N36+'Э4 (СЗ) (2)'!N36</f>
        <v>0</v>
      </c>
      <c r="O31" s="38">
        <f>'Э1 (СЗ) (2)'!O36+'Э2 (СЗ) (2)'!O36+'Э3 (СЗ) (2)'!O36+'Э4 (СЗ) (2)'!O36</f>
        <v>-453581.84739756689</v>
      </c>
      <c r="P31" s="38">
        <f>'Э1 (СЗ) (2)'!P36+'Э2 (СЗ) (2)'!P36+'Э3 (СЗ) (2)'!P36+'Э4 (СЗ) (2)'!P36</f>
        <v>0</v>
      </c>
      <c r="Q31" s="38">
        <f>'Э1 (СЗ) (2)'!Q36+'Э2 (СЗ) (2)'!Q36+'Э3 (СЗ) (2)'!Q36+'Э4 (СЗ) (2)'!Q36</f>
        <v>-467691.52896467387</v>
      </c>
      <c r="R31" s="38">
        <f>'Э1 (СЗ) (2)'!R36+'Э2 (СЗ) (2)'!R36+'Э3 (СЗ) (2)'!R36+'Э4 (СЗ) (2)'!R36</f>
        <v>0</v>
      </c>
      <c r="S31" s="38">
        <f>'Э1 (СЗ) (2)'!S36+'Э2 (СЗ) (2)'!S36+'Э3 (СЗ) (2)'!S36+'Э4 (СЗ) (2)'!S36</f>
        <v>-480823.9199150374</v>
      </c>
      <c r="T31" s="38">
        <f>'Э1 (СЗ) (2)'!T36+'Э2 (СЗ) (2)'!T36+'Э3 (СЗ) (2)'!T36+'Э4 (СЗ) (2)'!T36</f>
        <v>-1400.5810637564282</v>
      </c>
      <c r="U31" s="38">
        <f>'Э1 (СЗ) (2)'!U36+'Э2 (СЗ) (2)'!U36+'Э3 (СЗ) (2)'!U36+'Э4 (СЗ) (2)'!U36</f>
        <v>0</v>
      </c>
      <c r="V31" s="38">
        <f>'Э1 (СЗ) (2)'!V36+'Э2 (СЗ) (2)'!V36+'Э3 (СЗ) (2)'!V36+'Э4 (СЗ) (2)'!V36</f>
        <v>0</v>
      </c>
      <c r="W31" s="38">
        <f>'Э1 (СЗ) (2)'!W36+'Э2 (СЗ) (2)'!W36+'Э3 (СЗ) (2)'!W36+'Э4 (СЗ) (2)'!W36</f>
        <v>0</v>
      </c>
      <c r="X31" s="38">
        <f>'Э1 (СЗ) (2)'!X36+'Э2 (СЗ) (2)'!X36+'Э3 (СЗ) (2)'!X36+'Э4 (СЗ) (2)'!X36</f>
        <v>0</v>
      </c>
      <c r="Y31" s="38">
        <f>'Э1 (СЗ) (2)'!Y36+'Э2 (СЗ) (2)'!Y36+'Э3 (СЗ) (2)'!Y36+'Э4 (СЗ) (2)'!Y36</f>
        <v>0</v>
      </c>
      <c r="Z31" s="38">
        <f>'Э1 (СЗ) (2)'!Z36+'Э2 (СЗ) (2)'!Z36+'Э3 (СЗ) (2)'!Z36+'Э4 (СЗ) (2)'!Z36</f>
        <v>0</v>
      </c>
    </row>
    <row r="32" spans="1:26" s="28" customFormat="1" x14ac:dyDescent="0.2">
      <c r="A32" s="29" t="s">
        <v>4</v>
      </c>
      <c r="B32" s="65"/>
      <c r="C32" s="42">
        <f>'Э1 (СЗ) (2)'!C37+'Э2 (СЗ) (2)'!C37+'Э3 (СЗ) (2)'!C37+'Э4 (СЗ) (2)'!C37</f>
        <v>0</v>
      </c>
      <c r="D32" s="42">
        <f>'Э1 (СЗ) (2)'!D37+'Э2 (СЗ) (2)'!D37+'Э3 (СЗ) (2)'!D37+'Э4 (СЗ) (2)'!D37</f>
        <v>0</v>
      </c>
      <c r="E32" s="42">
        <f>'Э1 (СЗ) (2)'!E37+'Э2 (СЗ) (2)'!E37+'Э3 (СЗ) (2)'!E37+'Э4 (СЗ) (2)'!E37</f>
        <v>0</v>
      </c>
      <c r="F32" s="42">
        <f>'Э1 (СЗ) (2)'!F37+'Э2 (СЗ) (2)'!F37+'Э3 (СЗ) (2)'!F37+'Э4 (СЗ) (2)'!F37</f>
        <v>0</v>
      </c>
      <c r="G32" s="42">
        <f>'Э1 (СЗ) (2)'!G37+'Э2 (СЗ) (2)'!G37+'Э3 (СЗ) (2)'!G37+'Э4 (СЗ) (2)'!G37</f>
        <v>0</v>
      </c>
      <c r="H32" s="42">
        <f>'Э1 (СЗ) (2)'!H37+'Э2 (СЗ) (2)'!H37+'Э3 (СЗ) (2)'!H37+'Э4 (СЗ) (2)'!H37</f>
        <v>88777.902906744595</v>
      </c>
      <c r="I32" s="42">
        <f>'Э1 (СЗ) (2)'!I37+'Э2 (СЗ) (2)'!I37+'Э3 (СЗ) (2)'!I37+'Э4 (СЗ) (2)'!I37</f>
        <v>174748.98028220399</v>
      </c>
      <c r="J32" s="42">
        <f>'Э1 (СЗ) (2)'!J37+'Э2 (СЗ) (2)'!J37+'Э3 (СЗ) (2)'!J37+'Э4 (СЗ) (2)'!J37</f>
        <v>353399.00732656423</v>
      </c>
      <c r="K32" s="42">
        <f>'Э1 (СЗ) (2)'!K37+'Э2 (СЗ) (2)'!K37+'Э3 (СЗ) (2)'!K37+'Э4 (СЗ) (2)'!K37</f>
        <v>530393.29266694305</v>
      </c>
      <c r="L32" s="42">
        <f>'Э1 (СЗ) (2)'!L37+'Э2 (СЗ) (2)'!L37+'Э3 (СЗ) (2)'!L37+'Э4 (СЗ) (2)'!L37</f>
        <v>804131.67755029269</v>
      </c>
      <c r="M32" s="42">
        <f>'Э1 (СЗ) (2)'!M37+'Э2 (СЗ) (2)'!M37+'Э3 (СЗ) (2)'!M37+'Э4 (СЗ) (2)'!M37</f>
        <v>546752.1550833378</v>
      </c>
      <c r="N32" s="42">
        <f>'Э1 (СЗ) (2)'!N37+'Э2 (СЗ) (2)'!N37+'Э3 (СЗ) (2)'!N37+'Э4 (СЗ) (2)'!N37</f>
        <v>829005.42659641104</v>
      </c>
      <c r="O32" s="42">
        <f>'Э1 (СЗ) (2)'!O37+'Э2 (СЗ) (2)'!O37+'Э3 (СЗ) (2)'!O37+'Э4 (СЗ) (2)'!O37</f>
        <v>563601.78337222431</v>
      </c>
      <c r="P32" s="42">
        <f>'Э1 (СЗ) (2)'!P37+'Э2 (СЗ) (2)'!P37+'Э3 (СЗ) (2)'!P37+'Э4 (СЗ) (2)'!P37</f>
        <v>754538.26866928081</v>
      </c>
      <c r="Q32" s="42">
        <f>'Э1 (СЗ) (2)'!Q37+'Э2 (СЗ) (2)'!Q37+'Э3 (СЗ) (2)'!Q37+'Э4 (СЗ) (2)'!Q37</f>
        <v>383820.81203552784</v>
      </c>
      <c r="R32" s="42">
        <f>'Э1 (СЗ) (2)'!R37+'Э2 (СЗ) (2)'!R37+'Э3 (СЗ) (2)'!R37+'Э4 (СЗ) (2)'!R37</f>
        <v>482224.50097879383</v>
      </c>
      <c r="S32" s="42">
        <f>'Э1 (СЗ) (2)'!S37+'Э2 (СЗ) (2)'!S37+'Э3 (СЗ) (2)'!S37+'Э4 (СЗ) (2)'!S37</f>
        <v>1400.5810637564282</v>
      </c>
      <c r="T32" s="42">
        <f>'Э1 (СЗ) (2)'!T37+'Э2 (СЗ) (2)'!T37+'Э3 (СЗ) (2)'!T37+'Э4 (СЗ) (2)'!T37</f>
        <v>0</v>
      </c>
      <c r="U32" s="42">
        <f>'Э1 (СЗ) (2)'!U37+'Э2 (СЗ) (2)'!U37+'Э3 (СЗ) (2)'!U37+'Э4 (СЗ) (2)'!U37</f>
        <v>0</v>
      </c>
      <c r="V32" s="42">
        <f>'Э1 (СЗ) (2)'!V37+'Э2 (СЗ) (2)'!V37+'Э3 (СЗ) (2)'!V37+'Э4 (СЗ) (2)'!V37</f>
        <v>0</v>
      </c>
      <c r="W32" s="42">
        <f>'Э1 (СЗ) (2)'!W37+'Э2 (СЗ) (2)'!W37+'Э3 (СЗ) (2)'!W37+'Э4 (СЗ) (2)'!W37</f>
        <v>0</v>
      </c>
      <c r="X32" s="42">
        <f>'Э1 (СЗ) (2)'!X37+'Э2 (СЗ) (2)'!X37+'Э3 (СЗ) (2)'!X37+'Э4 (СЗ) (2)'!X37</f>
        <v>0</v>
      </c>
      <c r="Y32" s="42">
        <f>'Э1 (СЗ) (2)'!Y37+'Э2 (СЗ) (2)'!Y37+'Э3 (СЗ) (2)'!Y37+'Э4 (СЗ) (2)'!Y37</f>
        <v>0</v>
      </c>
      <c r="Z32" s="42">
        <f>'Э1 (СЗ) (2)'!Z37+'Э2 (СЗ) (2)'!Z37+'Э3 (СЗ) (2)'!Z37+'Э4 (СЗ) (2)'!Z37</f>
        <v>0</v>
      </c>
    </row>
    <row r="33" spans="1:26" s="28" customFormat="1" x14ac:dyDescent="0.2">
      <c r="A33" s="66" t="s">
        <v>28</v>
      </c>
      <c r="B33" s="65"/>
      <c r="C33" s="42">
        <f>'Э1 (СЗ) (2)'!C38+'Э2 (СЗ) (2)'!C38+'Э3 (СЗ) (2)'!C38+'Э4 (СЗ) (2)'!C38</f>
        <v>0</v>
      </c>
      <c r="D33" s="42">
        <f>'Э1 (СЗ) (2)'!D38+'Э2 (СЗ) (2)'!D38+'Э3 (СЗ) (2)'!D38+'Э4 (СЗ) (2)'!D38</f>
        <v>0</v>
      </c>
      <c r="E33" s="42">
        <f>'Э1 (СЗ) (2)'!E38+'Э2 (СЗ) (2)'!E38+'Э3 (СЗ) (2)'!E38+'Э4 (СЗ) (2)'!E38</f>
        <v>0</v>
      </c>
      <c r="F33" s="42">
        <f>'Э1 (СЗ) (2)'!F38+'Э2 (СЗ) (2)'!F38+'Э3 (СЗ) (2)'!F38+'Э4 (СЗ) (2)'!F38</f>
        <v>0</v>
      </c>
      <c r="G33" s="42">
        <f>'Э1 (СЗ) (2)'!G38+'Э2 (СЗ) (2)'!G38+'Э3 (СЗ) (2)'!G38+'Э4 (СЗ) (2)'!G38</f>
        <v>0</v>
      </c>
      <c r="H33" s="42">
        <f>'Э1 (СЗ) (2)'!H38+'Э2 (СЗ) (2)'!H38+'Э3 (СЗ) (2)'!H38+'Э4 (СЗ) (2)'!H38</f>
        <v>11557.780171989725</v>
      </c>
      <c r="I33" s="42">
        <f>'Э1 (СЗ) (2)'!I38+'Э2 (СЗ) (2)'!I38+'Э3 (СЗ) (2)'!I38+'Э4 (СЗ) (2)'!I38</f>
        <v>18571.28205116227</v>
      </c>
      <c r="J33" s="42">
        <f>'Э1 (СЗ) (2)'!J38+'Э2 (СЗ) (2)'!J38+'Э3 (СЗ) (2)'!J38+'Э4 (СЗ) (2)'!J38</f>
        <v>39267.065415814359</v>
      </c>
      <c r="K33" s="42">
        <f>'Э1 (СЗ) (2)'!K38+'Э2 (СЗ) (2)'!K38+'Э3 (СЗ) (2)'!K38+'Э4 (СЗ) (2)'!K38</f>
        <v>54753.136593691481</v>
      </c>
      <c r="L33" s="42">
        <f>'Э1 (СЗ) (2)'!L38+'Э2 (СЗ) (2)'!L38+'Э3 (СЗ) (2)'!L38+'Э4 (СЗ) (2)'!L38</f>
        <v>86129.249761128463</v>
      </c>
      <c r="M33" s="42">
        <f>'Э1 (СЗ) (2)'!M38+'Э2 (СЗ) (2)'!M38+'Э3 (СЗ) (2)'!M38+'Э4 (СЗ) (2)'!M38</f>
        <v>71111.999010086263</v>
      </c>
      <c r="N33" s="42">
        <f>'Э1 (СЗ) (2)'!N38+'Э2 (СЗ) (2)'!N38+'Э3 (СЗ) (2)'!N38+'Э4 (СЗ) (2)'!N38</f>
        <v>111002.99880724684</v>
      </c>
      <c r="O33" s="42">
        <f>'Э1 (СЗ) (2)'!O38+'Э2 (СЗ) (2)'!O38+'Э3 (СЗ) (2)'!O38+'Э4 (СЗ) (2)'!O38</f>
        <v>87961.62729897286</v>
      </c>
      <c r="P33" s="42">
        <f>'Э1 (СЗ) (2)'!P38+'Э2 (СЗ) (2)'!P38+'Э3 (СЗ) (2)'!P38+'Э4 (СЗ) (2)'!P38</f>
        <v>113755.96361487143</v>
      </c>
      <c r="Q33" s="42">
        <f>'Э1 (СЗ) (2)'!Q38+'Э2 (СЗ) (2)'!Q38+'Э3 (СЗ) (2)'!Q38+'Э4 (СЗ) (2)'!Q38</f>
        <v>64358.354193318053</v>
      </c>
      <c r="R33" s="42">
        <f>'Э1 (СЗ) (2)'!R38+'Э2 (СЗ) (2)'!R38+'Э3 (СЗ) (2)'!R38+'Э4 (СЗ) (2)'!R38</f>
        <v>78354.015100379474</v>
      </c>
      <c r="S33" s="42">
        <f>'Э1 (СЗ) (2)'!S38+'Э2 (СЗ) (2)'!S38+'Э3 (СЗ) (2)'!S38+'Э4 (СЗ) (2)'!S38</f>
        <v>1400.5810637564282</v>
      </c>
      <c r="T33" s="42">
        <f>'Э1 (СЗ) (2)'!T38+'Э2 (СЗ) (2)'!T38+'Э3 (СЗ) (2)'!T38+'Э4 (СЗ) (2)'!T38</f>
        <v>0</v>
      </c>
      <c r="U33" s="42">
        <f>'Э1 (СЗ) (2)'!U38+'Э2 (СЗ) (2)'!U38+'Э3 (СЗ) (2)'!U38+'Э4 (СЗ) (2)'!U38</f>
        <v>0</v>
      </c>
      <c r="V33" s="42">
        <f>'Э1 (СЗ) (2)'!V38+'Э2 (СЗ) (2)'!V38+'Э3 (СЗ) (2)'!V38+'Э4 (СЗ) (2)'!V38</f>
        <v>0</v>
      </c>
      <c r="W33" s="42">
        <f>'Э1 (СЗ) (2)'!W38+'Э2 (СЗ) (2)'!W38+'Э3 (СЗ) (2)'!W38+'Э4 (СЗ) (2)'!W38</f>
        <v>0</v>
      </c>
      <c r="X33" s="42">
        <f>'Э1 (СЗ) (2)'!X38+'Э2 (СЗ) (2)'!X38+'Э3 (СЗ) (2)'!X38+'Э4 (СЗ) (2)'!X38</f>
        <v>0</v>
      </c>
      <c r="Y33" s="42">
        <f>'Э1 (СЗ) (2)'!Y38+'Э2 (СЗ) (2)'!Y38+'Э3 (СЗ) (2)'!Y38+'Э4 (СЗ) (2)'!Y38</f>
        <v>0</v>
      </c>
      <c r="Z33" s="42">
        <f>'Э1 (СЗ) (2)'!Z38+'Э2 (СЗ) (2)'!Z38+'Э3 (СЗ) (2)'!Z38+'Э4 (СЗ) (2)'!Z38</f>
        <v>0</v>
      </c>
    </row>
    <row r="34" spans="1:26" s="28" customFormat="1" hidden="1" outlineLevel="1" x14ac:dyDescent="0.2">
      <c r="A34" s="66"/>
      <c r="B34" s="65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42"/>
      <c r="X34" s="42"/>
      <c r="Y34" s="42"/>
      <c r="Z34" s="42"/>
    </row>
    <row r="35" spans="1:26" s="44" customFormat="1" collapsed="1" x14ac:dyDescent="0.2">
      <c r="A35" s="43" t="s">
        <v>0</v>
      </c>
      <c r="B35" s="49"/>
      <c r="C35" s="49">
        <f t="shared" ref="C35:Z35" si="8">C29+C30+C31</f>
        <v>0</v>
      </c>
      <c r="D35" s="49">
        <f t="shared" si="8"/>
        <v>0</v>
      </c>
      <c r="E35" s="49">
        <f t="shared" si="8"/>
        <v>0</v>
      </c>
      <c r="F35" s="49">
        <f t="shared" si="8"/>
        <v>0</v>
      </c>
      <c r="G35" s="49">
        <f t="shared" si="8"/>
        <v>0</v>
      </c>
      <c r="H35" s="49">
        <f t="shared" si="8"/>
        <v>0</v>
      </c>
      <c r="I35" s="49">
        <f t="shared" si="8"/>
        <v>0</v>
      </c>
      <c r="J35" s="49">
        <f t="shared" si="8"/>
        <v>0</v>
      </c>
      <c r="K35" s="49">
        <f t="shared" si="8"/>
        <v>0</v>
      </c>
      <c r="L35" s="49">
        <f t="shared" si="8"/>
        <v>-5.8207660913467407E-11</v>
      </c>
      <c r="M35" s="49">
        <f t="shared" si="8"/>
        <v>41999.326824267744</v>
      </c>
      <c r="N35" s="49">
        <f t="shared" si="8"/>
        <v>72420.792266801727</v>
      </c>
      <c r="O35" s="49">
        <f t="shared" si="8"/>
        <v>114456.51545897685</v>
      </c>
      <c r="P35" s="49">
        <f t="shared" si="8"/>
        <v>159832.66602171343</v>
      </c>
      <c r="Q35" s="49">
        <f t="shared" si="8"/>
        <v>99994.091852692305</v>
      </c>
      <c r="R35" s="49">
        <f t="shared" si="8"/>
        <v>159437.16817073693</v>
      </c>
      <c r="S35" s="49">
        <f t="shared" si="8"/>
        <v>86498.376601975702</v>
      </c>
      <c r="T35" s="49">
        <f t="shared" si="8"/>
        <v>171580.33213058193</v>
      </c>
      <c r="U35" s="49">
        <f t="shared" si="8"/>
        <v>72217.809584501942</v>
      </c>
      <c r="V35" s="49">
        <f t="shared" si="8"/>
        <v>87795.852251005388</v>
      </c>
      <c r="W35" s="49">
        <f t="shared" si="8"/>
        <v>0</v>
      </c>
      <c r="X35" s="49">
        <f t="shared" si="8"/>
        <v>0</v>
      </c>
      <c r="Y35" s="49">
        <f t="shared" si="8"/>
        <v>0</v>
      </c>
      <c r="Z35" s="49">
        <f t="shared" si="8"/>
        <v>0</v>
      </c>
    </row>
    <row r="36" spans="1:26" x14ac:dyDescent="0.2">
      <c r="A36" s="9" t="s">
        <v>5</v>
      </c>
      <c r="B36" s="4">
        <f>SUM(C36:Z36)</f>
        <v>-211525.00476904746</v>
      </c>
      <c r="C36" s="38">
        <f>'Э1 (СЗ) (2)'!C41+'Э2 (СЗ) (2)'!C41+'Э3 (СЗ) (2)'!C41+'Э4 (СЗ) (2)'!C41</f>
        <v>0</v>
      </c>
      <c r="D36" s="38">
        <f>'Э1 (СЗ) (2)'!D41+'Э2 (СЗ) (2)'!D41+'Э3 (СЗ) (2)'!D41+'Э4 (СЗ) (2)'!D41</f>
        <v>0</v>
      </c>
      <c r="E36" s="38">
        <f>'Э1 (СЗ) (2)'!E41+'Э2 (СЗ) (2)'!E41+'Э3 (СЗ) (2)'!E41+'Э4 (СЗ) (2)'!E41</f>
        <v>0</v>
      </c>
      <c r="F36" s="38">
        <f>'Э1 (СЗ) (2)'!F41+'Э2 (СЗ) (2)'!F41+'Э3 (СЗ) (2)'!F41+'Э4 (СЗ) (2)'!F41</f>
        <v>0</v>
      </c>
      <c r="G36" s="38">
        <f>'Э1 (СЗ) (2)'!G41+'Э2 (СЗ) (2)'!G41+'Э3 (СЗ) (2)'!G41+'Э4 (СЗ) (2)'!G41</f>
        <v>0</v>
      </c>
      <c r="H36" s="38">
        <f>'Э1 (СЗ) (2)'!H41+'Э2 (СЗ) (2)'!H41+'Э3 (СЗ) (2)'!H41+'Э4 (СЗ) (2)'!H41</f>
        <v>0</v>
      </c>
      <c r="I36" s="38">
        <f>'Э1 (СЗ) (2)'!I41+'Э2 (СЗ) (2)'!I41+'Э3 (СЗ) (2)'!I41+'Э4 (СЗ) (2)'!I41</f>
        <v>0</v>
      </c>
      <c r="J36" s="38">
        <f>'Э1 (СЗ) (2)'!J41+'Э2 (СЗ) (2)'!J41+'Э3 (СЗ) (2)'!J41+'Э4 (СЗ) (2)'!J41</f>
        <v>0</v>
      </c>
      <c r="K36" s="38">
        <f>'Э1 (СЗ) (2)'!K41+'Э2 (СЗ) (2)'!K41+'Э3 (СЗ) (2)'!K41+'Э4 (СЗ) (2)'!K41</f>
        <v>0</v>
      </c>
      <c r="L36" s="38">
        <f>'Э1 (СЗ) (2)'!L41+'Э2 (СЗ) (2)'!L41+'Э3 (СЗ) (2)'!L41+'Э4 (СЗ) (2)'!L41</f>
        <v>0</v>
      </c>
      <c r="M36" s="38">
        <f>'Э1 (СЗ) (2)'!M41+'Э2 (СЗ) (2)'!M41+'Э3 (СЗ) (2)'!M41+'Э4 (СЗ) (2)'!M41</f>
        <v>-4067.3087489562258</v>
      </c>
      <c r="N36" s="38">
        <f>'Э1 (СЗ) (2)'!N41+'Э2 (СЗ) (2)'!N41+'Э3 (СЗ) (2)'!N41+'Э4 (СЗ) (2)'!N41</f>
        <v>-16639.827203360375</v>
      </c>
      <c r="O36" s="38">
        <f>'Э1 (СЗ) (2)'!O41+'Э2 (СЗ) (2)'!O41+'Э3 (СЗ) (2)'!O41+'Э4 (СЗ) (2)'!O41</f>
        <v>-18424.232745898051</v>
      </c>
      <c r="P36" s="38">
        <f>'Э1 (СЗ) (2)'!P41+'Э2 (СЗ) (2)'!P41+'Э3 (СЗ) (2)'!P41+'Э4 (СЗ) (2)'!P41</f>
        <v>-34186.87201684271</v>
      </c>
      <c r="Q36" s="38">
        <f>'Э1 (СЗ) (2)'!Q41+'Э2 (СЗ) (2)'!Q41+'Э3 (СЗ) (2)'!Q41+'Э4 (СЗ) (2)'!Q41</f>
        <v>-17985.808101028604</v>
      </c>
      <c r="R36" s="38">
        <f>'Э1 (СЗ) (2)'!R41+'Э2 (СЗ) (2)'!R41+'Э3 (СЗ) (2)'!R41+'Э4 (СЗ) (2)'!R41</f>
        <v>-34522.219653756787</v>
      </c>
      <c r="S36" s="38">
        <f>'Э1 (СЗ) (2)'!S41+'Э2 (СЗ) (2)'!S41+'Э3 (СЗ) (2)'!S41+'Э4 (СЗ) (2)'!S41</f>
        <v>-17652.729918770565</v>
      </c>
      <c r="T36" s="38">
        <f>'Э1 (СЗ) (2)'!T41+'Э2 (СЗ) (2)'!T41+'Э3 (СЗ) (2)'!T41+'Э4 (СЗ) (2)'!T41</f>
        <v>-32976.311551424958</v>
      </c>
      <c r="U36" s="38">
        <f>'Э1 (СЗ) (2)'!U41+'Э2 (СЗ) (2)'!U41+'Э3 (СЗ) (2)'!U41+'Э4 (СЗ) (2)'!U41</f>
        <v>-17152.173961457051</v>
      </c>
      <c r="V36" s="38">
        <f>'Э1 (СЗ) (2)'!V41+'Э2 (СЗ) (2)'!V41+'Э3 (СЗ) (2)'!V41+'Э4 (СЗ) (2)'!V41</f>
        <v>-17917.520867552121</v>
      </c>
      <c r="W36" s="38">
        <f>'Э1 (СЗ) (2)'!W41+'Э2 (СЗ) (2)'!W41+'Э3 (СЗ) (2)'!W41+'Э4 (СЗ) (2)'!W41</f>
        <v>0</v>
      </c>
      <c r="X36" s="38">
        <f>'Э1 (СЗ) (2)'!X41+'Э2 (СЗ) (2)'!X41+'Э3 (СЗ) (2)'!X41+'Э4 (СЗ) (2)'!X41</f>
        <v>0</v>
      </c>
      <c r="Y36" s="38">
        <f>'Э1 (СЗ) (2)'!Y41+'Э2 (СЗ) (2)'!Y41+'Э3 (СЗ) (2)'!Y41+'Э4 (СЗ) (2)'!Y41</f>
        <v>0</v>
      </c>
      <c r="Z36" s="38">
        <f>'Э1 (СЗ) (2)'!Z41+'Э2 (СЗ) (2)'!Z41+'Э3 (СЗ) (2)'!Z41+'Э4 (СЗ) (2)'!Z41</f>
        <v>0</v>
      </c>
    </row>
    <row r="37" spans="1:26" s="44" customFormat="1" x14ac:dyDescent="0.2">
      <c r="A37" s="43" t="s">
        <v>29</v>
      </c>
      <c r="B37" s="49"/>
      <c r="C37" s="49">
        <f t="shared" ref="C37:Z37" si="9">C35+C36</f>
        <v>0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si="9"/>
        <v>0</v>
      </c>
      <c r="K37" s="49">
        <f t="shared" si="9"/>
        <v>0</v>
      </c>
      <c r="L37" s="49">
        <f t="shared" si="9"/>
        <v>-5.8207660913467407E-11</v>
      </c>
      <c r="M37" s="49">
        <f t="shared" si="9"/>
        <v>37932.01807531152</v>
      </c>
      <c r="N37" s="49">
        <f t="shared" si="9"/>
        <v>55780.965063441356</v>
      </c>
      <c r="O37" s="49">
        <f t="shared" si="9"/>
        <v>96032.282713078806</v>
      </c>
      <c r="P37" s="49">
        <f t="shared" si="9"/>
        <v>125645.79400487072</v>
      </c>
      <c r="Q37" s="49">
        <f t="shared" si="9"/>
        <v>82008.283751663694</v>
      </c>
      <c r="R37" s="49">
        <f t="shared" si="9"/>
        <v>124914.94851698013</v>
      </c>
      <c r="S37" s="49">
        <f t="shared" si="9"/>
        <v>68845.646683205137</v>
      </c>
      <c r="T37" s="49">
        <f t="shared" si="9"/>
        <v>138604.02057915696</v>
      </c>
      <c r="U37" s="49">
        <f t="shared" si="9"/>
        <v>55065.635623044887</v>
      </c>
      <c r="V37" s="49">
        <f t="shared" si="9"/>
        <v>69878.331383453275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</row>
    <row r="38" spans="1:26" x14ac:dyDescent="0.2">
      <c r="A38" s="9" t="s">
        <v>30</v>
      </c>
      <c r="B38" s="4">
        <f>SUM(C38:Z38)</f>
        <v>-854707.92639420717</v>
      </c>
      <c r="C38" s="38">
        <f>'Э1 (СЗ) (2)'!C43+'Э2 (СЗ) (2)'!C43+'Э3 (СЗ) (2)'!C43+'Э4 (СЗ) (2)'!C43</f>
        <v>0</v>
      </c>
      <c r="D38" s="38">
        <f>'Э1 (СЗ) (2)'!D43+'Э2 (СЗ) (2)'!D43+'Э3 (СЗ) (2)'!D43+'Э4 (СЗ) (2)'!D43</f>
        <v>0</v>
      </c>
      <c r="E38" s="38">
        <f>'Э1 (СЗ) (2)'!E43+'Э2 (СЗ) (2)'!E43+'Э3 (СЗ) (2)'!E43+'Э4 (СЗ) (2)'!E43</f>
        <v>0</v>
      </c>
      <c r="F38" s="38">
        <f>'Э1 (СЗ) (2)'!F43+'Э2 (СЗ) (2)'!F43+'Э3 (СЗ) (2)'!F43+'Э4 (СЗ) (2)'!F43</f>
        <v>0</v>
      </c>
      <c r="G38" s="38">
        <f>'Э1 (СЗ) (2)'!G43+'Э2 (СЗ) (2)'!G43+'Э3 (СЗ) (2)'!G43+'Э4 (СЗ) (2)'!G43</f>
        <v>0</v>
      </c>
      <c r="H38" s="38">
        <f>'Э1 (СЗ) (2)'!H43+'Э2 (СЗ) (2)'!H43+'Э3 (СЗ) (2)'!H43+'Э4 (СЗ) (2)'!H43</f>
        <v>0</v>
      </c>
      <c r="I38" s="38">
        <f>'Э1 (СЗ) (2)'!I43+'Э2 (СЗ) (2)'!I43+'Э3 (СЗ) (2)'!I43+'Э4 (СЗ) (2)'!I43</f>
        <v>0</v>
      </c>
      <c r="J38" s="38">
        <f>'Э1 (СЗ) (2)'!J43+'Э2 (СЗ) (2)'!J43+'Э3 (СЗ) (2)'!J43+'Э4 (СЗ) (2)'!J43</f>
        <v>0</v>
      </c>
      <c r="K38" s="38">
        <f>'Э1 (СЗ) (2)'!K43+'Э2 (СЗ) (2)'!K43+'Э3 (СЗ) (2)'!K43+'Э4 (СЗ) (2)'!K43</f>
        <v>0</v>
      </c>
      <c r="L38" s="38">
        <f>'Э1 (СЗ) (2)'!L43+'Э2 (СЗ) (2)'!L43+'Э3 (СЗ) (2)'!L43+'Э4 (СЗ) (2)'!L43</f>
        <v>0</v>
      </c>
      <c r="M38" s="38">
        <f>'Э1 (СЗ) (2)'!M43+'Э2 (СЗ) (2)'!M43+'Э3 (СЗ) (2)'!M43+'Э4 (СЗ) (2)'!M43</f>
        <v>-37932.018075311636</v>
      </c>
      <c r="N38" s="38">
        <f>'Э1 (СЗ) (2)'!N43+'Э2 (СЗ) (2)'!N43+'Э3 (СЗ) (2)'!N43+'Э4 (СЗ) (2)'!N43</f>
        <v>-55780.965063441501</v>
      </c>
      <c r="O38" s="38">
        <f>'Э1 (СЗ) (2)'!O43+'Э2 (СЗ) (2)'!O43+'Э3 (СЗ) (2)'!O43+'Э4 (СЗ) (2)'!O43</f>
        <v>-96032.282713078923</v>
      </c>
      <c r="P38" s="38">
        <f>'Э1 (СЗ) (2)'!P43+'Э2 (СЗ) (2)'!P43+'Э3 (СЗ) (2)'!P43+'Э4 (СЗ) (2)'!P43</f>
        <v>-125645.79400487081</v>
      </c>
      <c r="Q38" s="38">
        <f>'Э1 (СЗ) (2)'!Q43+'Э2 (СЗ) (2)'!Q43+'Э3 (СЗ) (2)'!Q43+'Э4 (СЗ) (2)'!Q43</f>
        <v>-82008.283751663708</v>
      </c>
      <c r="R38" s="38">
        <f>'Э1 (СЗ) (2)'!R43+'Э2 (СЗ) (2)'!R43+'Э3 (СЗ) (2)'!R43+'Э4 (СЗ) (2)'!R43</f>
        <v>-124914.94851698016</v>
      </c>
      <c r="S38" s="38">
        <f>'Э1 (СЗ) (2)'!S43+'Э2 (СЗ) (2)'!S43+'Э3 (СЗ) (2)'!S43+'Э4 (СЗ) (2)'!S43</f>
        <v>-68845.646683205196</v>
      </c>
      <c r="T38" s="38">
        <f>'Э1 (СЗ) (2)'!T43+'Э2 (СЗ) (2)'!T43+'Э3 (СЗ) (2)'!T43+'Э4 (СЗ) (2)'!T43</f>
        <v>-138604.02057915699</v>
      </c>
      <c r="U38" s="38">
        <f>'Э1 (СЗ) (2)'!U43+'Э2 (СЗ) (2)'!U43+'Э3 (СЗ) (2)'!U43+'Э4 (СЗ) (2)'!U43</f>
        <v>-55065.635623044887</v>
      </c>
      <c r="V38" s="38">
        <f>'Э1 (СЗ) (2)'!V43+'Э2 (СЗ) (2)'!V43+'Э3 (СЗ) (2)'!V43+'Э4 (СЗ) (2)'!V43</f>
        <v>-69878.331383453275</v>
      </c>
      <c r="W38" s="38">
        <f>'Э1 (СЗ) (2)'!W43+'Э2 (СЗ) (2)'!W43+'Э3 (СЗ) (2)'!W43+'Э4 (СЗ) (2)'!W43</f>
        <v>0</v>
      </c>
      <c r="X38" s="38">
        <f>'Э1 (СЗ) (2)'!X43+'Э2 (СЗ) (2)'!X43+'Э3 (СЗ) (2)'!X43+'Э4 (СЗ) (2)'!X43</f>
        <v>0</v>
      </c>
      <c r="Y38" s="38">
        <f>'Э1 (СЗ) (2)'!Y43+'Э2 (СЗ) (2)'!Y43+'Э3 (СЗ) (2)'!Y43+'Э4 (СЗ) (2)'!Y43</f>
        <v>0</v>
      </c>
      <c r="Z38" s="38">
        <f>'Э1 (СЗ) (2)'!Z43+'Э2 (СЗ) (2)'!Z43+'Э3 (СЗ) (2)'!Z43+'Э4 (СЗ) (2)'!Z43</f>
        <v>0</v>
      </c>
    </row>
    <row r="39" spans="1:26" s="44" customFormat="1" x14ac:dyDescent="0.2">
      <c r="A39" s="43" t="s">
        <v>31</v>
      </c>
      <c r="B39" s="49"/>
      <c r="C39" s="49">
        <f t="shared" ref="C39:Z39" si="10">C37+C38</f>
        <v>0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-5.8207660913467407E-11</v>
      </c>
      <c r="M39" s="49">
        <f t="shared" si="10"/>
        <v>-1.1641532182693481E-10</v>
      </c>
      <c r="N39" s="49">
        <f t="shared" si="10"/>
        <v>-1.4551915228366852E-10</v>
      </c>
      <c r="O39" s="49">
        <f t="shared" si="10"/>
        <v>-1.1641532182693481E-10</v>
      </c>
      <c r="P39" s="49">
        <f t="shared" si="10"/>
        <v>0</v>
      </c>
      <c r="Q39" s="49">
        <f t="shared" si="10"/>
        <v>0</v>
      </c>
      <c r="R39" s="49">
        <f t="shared" si="10"/>
        <v>0</v>
      </c>
      <c r="S39" s="49">
        <f t="shared" si="10"/>
        <v>0</v>
      </c>
      <c r="T39" s="49">
        <f t="shared" si="10"/>
        <v>0</v>
      </c>
      <c r="U39" s="49">
        <f t="shared" si="10"/>
        <v>0</v>
      </c>
      <c r="V39" s="49">
        <f t="shared" si="10"/>
        <v>0</v>
      </c>
      <c r="W39" s="49">
        <f t="shared" si="10"/>
        <v>0</v>
      </c>
      <c r="X39" s="49">
        <f t="shared" si="10"/>
        <v>0</v>
      </c>
      <c r="Y39" s="49">
        <f t="shared" si="10"/>
        <v>0</v>
      </c>
      <c r="Z39" s="49">
        <f t="shared" si="10"/>
        <v>0</v>
      </c>
    </row>
    <row r="40" spans="1:26" s="18" customFormat="1" x14ac:dyDescent="0.2">
      <c r="A40" s="16" t="s">
        <v>32</v>
      </c>
      <c r="B40" s="4">
        <f>SUM(C40:Z40)</f>
        <v>854707.92639420694</v>
      </c>
      <c r="C40" s="38">
        <f t="shared" ref="C40:Z40" si="11">C11+C17+C36+C26+C27</f>
        <v>0</v>
      </c>
      <c r="D40" s="38">
        <f t="shared" si="11"/>
        <v>0</v>
      </c>
      <c r="E40" s="38">
        <f t="shared" si="11"/>
        <v>0</v>
      </c>
      <c r="F40" s="38">
        <f t="shared" si="11"/>
        <v>0</v>
      </c>
      <c r="G40" s="38">
        <f t="shared" si="11"/>
        <v>0</v>
      </c>
      <c r="H40" s="38">
        <f t="shared" si="11"/>
        <v>-88777.902906744595</v>
      </c>
      <c r="I40" s="38">
        <f t="shared" si="11"/>
        <v>-85971.077375459412</v>
      </c>
      <c r="J40" s="38">
        <f t="shared" si="11"/>
        <v>-178650.02704436023</v>
      </c>
      <c r="K40" s="38">
        <f t="shared" si="11"/>
        <v>-176994.28534037876</v>
      </c>
      <c r="L40" s="38">
        <f t="shared" si="11"/>
        <v>-273738.3848833497</v>
      </c>
      <c r="M40" s="38">
        <f t="shared" si="11"/>
        <v>295311.54054226656</v>
      </c>
      <c r="N40" s="38">
        <f t="shared" si="11"/>
        <v>-226472.30644963184</v>
      </c>
      <c r="O40" s="38">
        <f t="shared" si="11"/>
        <v>361435.92593726562</v>
      </c>
      <c r="P40" s="38">
        <f t="shared" si="11"/>
        <v>-65290.691292185656</v>
      </c>
      <c r="Q40" s="38">
        <f t="shared" si="11"/>
        <v>452725.74038541666</v>
      </c>
      <c r="R40" s="38">
        <f t="shared" si="11"/>
        <v>26511.259573714124</v>
      </c>
      <c r="S40" s="38">
        <f t="shared" si="11"/>
        <v>549669.56659824261</v>
      </c>
      <c r="T40" s="38">
        <f t="shared" si="11"/>
        <v>140004.60164291339</v>
      </c>
      <c r="U40" s="38">
        <f t="shared" si="11"/>
        <v>55065.635623044887</v>
      </c>
      <c r="V40" s="38">
        <f t="shared" si="11"/>
        <v>69878.331383453275</v>
      </c>
      <c r="W40" s="38">
        <f t="shared" si="11"/>
        <v>0</v>
      </c>
      <c r="X40" s="38">
        <f t="shared" si="11"/>
        <v>0</v>
      </c>
      <c r="Y40" s="38">
        <f t="shared" si="11"/>
        <v>0</v>
      </c>
      <c r="Z40" s="38">
        <f t="shared" si="11"/>
        <v>0</v>
      </c>
    </row>
    <row r="41" spans="1:26" x14ac:dyDescent="0.2">
      <c r="A41" s="15" t="s">
        <v>50</v>
      </c>
      <c r="B41" s="19">
        <f>IRR(C40:Z40)*4</f>
        <v>0.45094699418459516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x14ac:dyDescent="0.2">
      <c r="A42" s="21"/>
      <c r="B42" s="56"/>
      <c r="C42" s="56"/>
      <c r="D42" s="56"/>
      <c r="E42" s="56"/>
      <c r="F42" s="56"/>
      <c r="G42" s="57"/>
      <c r="H42" s="57"/>
      <c r="I42" s="57"/>
      <c r="J42" s="58"/>
      <c r="K42" s="58"/>
      <c r="L42" s="58"/>
      <c r="M42" s="58"/>
      <c r="N42" s="58"/>
      <c r="O42" s="58"/>
      <c r="P42" s="58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idden="1" outlineLevel="1" x14ac:dyDescent="0.2">
      <c r="A43" s="9" t="s">
        <v>51</v>
      </c>
      <c r="B43" s="4">
        <f>SUM(C43:Z43)</f>
        <v>3017420.5958014978</v>
      </c>
      <c r="C43" s="38">
        <f>'Э1 (СЗ) (2)'!C48+'Э2 (СЗ) (2)'!C48+'Э3 (СЗ) (2)'!C48+'Э4 (СЗ) (2)'!C48</f>
        <v>0</v>
      </c>
      <c r="D43" s="38">
        <f>'Э1 (СЗ) (2)'!D48+'Э2 (СЗ) (2)'!D48+'Э3 (СЗ) (2)'!D48+'Э4 (СЗ) (2)'!D48</f>
        <v>0</v>
      </c>
      <c r="E43" s="38">
        <f>'Э1 (СЗ) (2)'!E48+'Э2 (СЗ) (2)'!E48+'Э3 (СЗ) (2)'!E48+'Э4 (СЗ) (2)'!E48</f>
        <v>0</v>
      </c>
      <c r="F43" s="38">
        <f>'Э1 (СЗ) (2)'!F48+'Э2 (СЗ) (2)'!F48+'Э3 (СЗ) (2)'!F48+'Э4 (СЗ) (2)'!F48</f>
        <v>0</v>
      </c>
      <c r="G43" s="38">
        <f>'Э1 (СЗ) (2)'!G48+'Э2 (СЗ) (2)'!G48+'Э3 (СЗ) (2)'!G48+'Э4 (СЗ) (2)'!G48</f>
        <v>0</v>
      </c>
      <c r="H43" s="38">
        <f>'Э1 (СЗ) (2)'!H48+'Э2 (СЗ) (2)'!H48+'Э3 (СЗ) (2)'!H48+'Э4 (СЗ) (2)'!H48</f>
        <v>77220.12273475487</v>
      </c>
      <c r="I43" s="38">
        <f>'Э1 (СЗ) (2)'!I48+'Э2 (СЗ) (2)'!I48+'Э3 (СЗ) (2)'!I48+'Э4 (СЗ) (2)'!I48</f>
        <v>78957.575496286852</v>
      </c>
      <c r="J43" s="38">
        <f>'Э1 (СЗ) (2)'!J48+'Э2 (СЗ) (2)'!J48+'Э3 (СЗ) (2)'!J48+'Э4 (СЗ) (2)'!J48</f>
        <v>157954.24367970816</v>
      </c>
      <c r="K43" s="38">
        <f>'Э1 (СЗ) (2)'!K48+'Э2 (СЗ) (2)'!K48+'Э3 (СЗ) (2)'!K48+'Э4 (СЗ) (2)'!K48</f>
        <v>161508.21416250162</v>
      </c>
      <c r="L43" s="38">
        <f>'Э1 (СЗ) (2)'!L48+'Э2 (СЗ) (2)'!L48+'Э3 (СЗ) (2)'!L48+'Э4 (СЗ) (2)'!L48</f>
        <v>242362.27171591276</v>
      </c>
      <c r="M43" s="38">
        <f>'Э1 (СЗ) (2)'!M48+'Э2 (СЗ) (2)'!M48+'Э3 (СЗ) (2)'!M48+'Э4 (СЗ) (2)'!M48</f>
        <v>247182.36261924927</v>
      </c>
      <c r="N43" s="38">
        <f>'Э1 (СЗ) (2)'!N48+'Э2 (СЗ) (2)'!N48+'Э3 (СЗ) (2)'!N48+'Э4 (СЗ) (2)'!N48</f>
        <v>329321.53239951161</v>
      </c>
      <c r="O43" s="38">
        <f>'Э1 (СЗ) (2)'!O48+'Э2 (СЗ) (2)'!O48+'Э3 (СЗ) (2)'!O48+'Э4 (СЗ) (2)'!O48</f>
        <v>335446.01221310208</v>
      </c>
      <c r="P43" s="38">
        <f>'Э1 (СЗ) (2)'!P48+'Э2 (СЗ) (2)'!P48+'Э3 (СЗ) (2)'!P48+'Э4 (СЗ) (2)'!P48</f>
        <v>341689.01400251733</v>
      </c>
      <c r="Q43" s="38">
        <f>'Э1 (СЗ) (2)'!Q48+'Э2 (СЗ) (2)'!Q48+'Э3 (СЗ) (2)'!Q48+'Э4 (СЗ) (2)'!Q48</f>
        <v>256488.43671681522</v>
      </c>
      <c r="R43" s="38">
        <f>'Э1 (СЗ) (2)'!R48+'Э2 (СЗ) (2)'!R48+'Э3 (СЗ) (2)'!R48+'Э4 (СЗ) (2)'!R48</f>
        <v>260954.89305756404</v>
      </c>
      <c r="S43" s="38">
        <f>'Э1 (СЗ) (2)'!S48+'Э2 (СЗ) (2)'!S48+'Э3 (СЗ) (2)'!S48+'Э4 (СЗ) (2)'!S48</f>
        <v>173937.79805060048</v>
      </c>
      <c r="T43" s="38">
        <f>'Э1 (СЗ) (2)'!T48+'Э2 (СЗ) (2)'!T48+'Э3 (СЗ) (2)'!T48+'Э4 (СЗ) (2)'!T48</f>
        <v>176546.86502135947</v>
      </c>
      <c r="U43" s="38">
        <f>'Э1 (СЗ) (2)'!U48+'Э2 (СЗ) (2)'!U48+'Э3 (СЗ) (2)'!U48+'Э4 (СЗ) (2)'!U48</f>
        <v>88263.649593852824</v>
      </c>
      <c r="V43" s="38">
        <f>'Э1 (СЗ) (2)'!V48+'Э2 (СЗ) (2)'!V48+'Э3 (СЗ) (2)'!V48+'Э4 (СЗ) (2)'!V48</f>
        <v>89587.604337760597</v>
      </c>
      <c r="W43" s="38">
        <f>'Э1 (СЗ) (2)'!W48+'Э2 (СЗ) (2)'!W48+'Э3 (СЗ) (2)'!W48+'Э4 (СЗ) (2)'!W48</f>
        <v>0</v>
      </c>
      <c r="X43" s="38">
        <f>'Э1 (СЗ) (2)'!X48+'Э2 (СЗ) (2)'!X48+'Э3 (СЗ) (2)'!X48+'Э4 (СЗ) (2)'!X48</f>
        <v>0</v>
      </c>
      <c r="Y43" s="38">
        <f>'Э1 (СЗ) (2)'!Y48+'Э2 (СЗ) (2)'!Y48+'Э3 (СЗ) (2)'!Y48+'Э4 (СЗ) (2)'!Y48</f>
        <v>0</v>
      </c>
      <c r="Z43" s="38">
        <f>'Э1 (СЗ) (2)'!Z48+'Э2 (СЗ) (2)'!Z48+'Э3 (СЗ) (2)'!Z48+'Э4 (СЗ) (2)'!Z48</f>
        <v>0</v>
      </c>
    </row>
    <row r="44" spans="1:26" hidden="1" outlineLevel="1" x14ac:dyDescent="0.2">
      <c r="A44" s="9" t="s">
        <v>6</v>
      </c>
      <c r="B44" s="4">
        <f>SUM(C44:Z44)</f>
        <v>-1959795.5719562601</v>
      </c>
      <c r="C44" s="38">
        <f>'Э1 (СЗ) (2)'!C49+'Э2 (СЗ) (2)'!C49+'Э3 (СЗ) (2)'!C49+'Э4 (СЗ) (2)'!C49</f>
        <v>0</v>
      </c>
      <c r="D44" s="38">
        <f>'Э1 (СЗ) (2)'!D49+'Э2 (СЗ) (2)'!D49+'Э3 (СЗ) (2)'!D49+'Э4 (СЗ) (2)'!D49</f>
        <v>0</v>
      </c>
      <c r="E44" s="38">
        <f>'Э1 (СЗ) (2)'!E49+'Э2 (СЗ) (2)'!E49+'Э3 (СЗ) (2)'!E49+'Э4 (СЗ) (2)'!E49</f>
        <v>0</v>
      </c>
      <c r="F44" s="38">
        <f>'Э1 (СЗ) (2)'!F49+'Э2 (СЗ) (2)'!F49+'Э3 (СЗ) (2)'!F49+'Э4 (СЗ) (2)'!F49</f>
        <v>-10831.391539743354</v>
      </c>
      <c r="G44" s="38">
        <f>'Э1 (СЗ) (2)'!G49+'Э2 (СЗ) (2)'!G49+'Э3 (СЗ) (2)'!G49+'Э4 (СЗ) (2)'!G49</f>
        <v>-10831.391539743354</v>
      </c>
      <c r="H44" s="38">
        <f>'Э1 (СЗ) (2)'!H49+'Э2 (СЗ) (2)'!H49+'Э3 (СЗ) (2)'!H49+'Э4 (СЗ) (2)'!H49</f>
        <v>-99945.578771487955</v>
      </c>
      <c r="I44" s="38">
        <f>'Э1 (СЗ) (2)'!I49+'Э2 (СЗ) (2)'!I49+'Э3 (СЗ) (2)'!I49+'Э4 (СЗ) (2)'!I49</f>
        <v>-97138.753240202772</v>
      </c>
      <c r="J44" s="38">
        <f>'Э1 (СЗ) (2)'!J49+'Э2 (СЗ) (2)'!J49+'Э3 (СЗ) (2)'!J49+'Э4 (СЗ) (2)'!J49</f>
        <v>-190084.77192873522</v>
      </c>
      <c r="K44" s="38">
        <f>'Э1 (СЗ) (2)'!K49+'Э2 (СЗ) (2)'!K49+'Э3 (СЗ) (2)'!K49+'Э4 (СЗ) (2)'!K49</f>
        <v>-188429.03022475375</v>
      </c>
      <c r="L44" s="38">
        <f>'Э1 (СЗ) (2)'!L49+'Э2 (СЗ) (2)'!L49+'Э3 (СЗ) (2)'!L49+'Э4 (СЗ) (2)'!L49</f>
        <v>-283369.06051266129</v>
      </c>
      <c r="M44" s="38">
        <f>'Э1 (СЗ) (2)'!M49+'Э2 (СЗ) (2)'!M49+'Э3 (СЗ) (2)'!M49+'Э4 (СЗ) (2)'!M49</f>
        <v>-199761.71161802026</v>
      </c>
      <c r="N44" s="38">
        <f>'Э1 (СЗ) (2)'!N49+'Э2 (СЗ) (2)'!N49+'Э3 (СЗ) (2)'!N49+'Э4 (СЗ) (2)'!N49</f>
        <v>-281544.60813913163</v>
      </c>
      <c r="O44" s="38">
        <f>'Э1 (СЗ) (2)'!O49+'Э2 (СЗ) (2)'!O49+'Э3 (СЗ) (2)'!O49+'Э4 (СЗ) (2)'!O49</f>
        <v>-193408.25779545662</v>
      </c>
      <c r="P44" s="38">
        <f>'Э1 (СЗ) (2)'!P49+'Э2 (СЗ) (2)'!P49+'Э3 (СЗ) (2)'!P49+'Э4 (СЗ) (2)'!P49</f>
        <v>-191936.44408743479</v>
      </c>
      <c r="Q44" s="38">
        <f>'Э1 (СЗ) (2)'!Q49+'Э2 (СЗ) (2)'!Q49+'Э3 (СЗ) (2)'!Q49+'Э4 (СЗ) (2)'!Q49</f>
        <v>-103025.24567986533</v>
      </c>
      <c r="R44" s="38">
        <f>'Э1 (СЗ) (2)'!R49+'Э2 (СЗ) (2)'!R49+'Э3 (СЗ) (2)'!R49+'Э4 (СЗ) (2)'!R49</f>
        <v>-99944.301114872462</v>
      </c>
      <c r="S44" s="38">
        <f>'Э1 (СЗ) (2)'!S49+'Э2 (СЗ) (2)'!S49+'Э3 (СЗ) (2)'!S49+'Э4 (СЗ) (2)'!S49</f>
        <v>-7007.2314509896669</v>
      </c>
      <c r="T44" s="38">
        <f>'Э1 (СЗ) (2)'!T49+'Э2 (СЗ) (2)'!T49+'Э3 (СЗ) (2)'!T49+'Э4 (СЗ) (2)'!T49</f>
        <v>-35.014526593910709</v>
      </c>
      <c r="U44" s="38">
        <f>'Э1 (СЗ) (2)'!U49+'Э2 (СЗ) (2)'!U49+'Э3 (СЗ) (2)'!U49+'Э4 (СЗ) (2)'!U49</f>
        <v>-2502.7797865675784</v>
      </c>
      <c r="V44" s="38">
        <f>'Э1 (СЗ) (2)'!V49+'Э2 (СЗ) (2)'!V49+'Э3 (СЗ) (2)'!V49+'Э4 (СЗ) (2)'!V49</f>
        <v>0</v>
      </c>
      <c r="W44" s="38">
        <f>'Э1 (СЗ) (2)'!W49+'Э2 (СЗ) (2)'!W49+'Э3 (СЗ) (2)'!W49+'Э4 (СЗ) (2)'!W49</f>
        <v>0</v>
      </c>
      <c r="X44" s="38">
        <f>'Э1 (СЗ) (2)'!X49+'Э2 (СЗ) (2)'!X49+'Э3 (СЗ) (2)'!X49+'Э4 (СЗ) (2)'!X49</f>
        <v>0</v>
      </c>
      <c r="Y44" s="38">
        <f>'Э1 (СЗ) (2)'!Y49+'Э2 (СЗ) (2)'!Y49+'Э3 (СЗ) (2)'!Y49+'Э4 (СЗ) (2)'!Y49</f>
        <v>0</v>
      </c>
      <c r="Z44" s="38">
        <f>'Э1 (СЗ) (2)'!Z49+'Э2 (СЗ) (2)'!Z49+'Э3 (СЗ) (2)'!Z49+'Э4 (СЗ) (2)'!Z49</f>
        <v>0</v>
      </c>
    </row>
    <row r="45" spans="1:26" hidden="1" outlineLevel="1" x14ac:dyDescent="0.2">
      <c r="A45" s="9" t="s">
        <v>7</v>
      </c>
      <c r="B45" s="4">
        <f>SUM(C45:Z45)</f>
        <v>1057625.0238452372</v>
      </c>
      <c r="C45" s="38">
        <f t="shared" ref="C45:Z45" si="12">C43+C44</f>
        <v>0</v>
      </c>
      <c r="D45" s="38">
        <f t="shared" si="12"/>
        <v>0</v>
      </c>
      <c r="E45" s="38">
        <f t="shared" si="12"/>
        <v>0</v>
      </c>
      <c r="F45" s="38">
        <f t="shared" si="12"/>
        <v>-10831.391539743354</v>
      </c>
      <c r="G45" s="38">
        <f t="shared" si="12"/>
        <v>-10831.391539743354</v>
      </c>
      <c r="H45" s="38">
        <f t="shared" si="12"/>
        <v>-22725.456036733085</v>
      </c>
      <c r="I45" s="38">
        <f t="shared" si="12"/>
        <v>-18181.17774391592</v>
      </c>
      <c r="J45" s="38">
        <f t="shared" si="12"/>
        <v>-32130.528249027062</v>
      </c>
      <c r="K45" s="38">
        <f t="shared" si="12"/>
        <v>-26920.816062252125</v>
      </c>
      <c r="L45" s="38">
        <f t="shared" si="12"/>
        <v>-41006.788796748529</v>
      </c>
      <c r="M45" s="38">
        <f t="shared" si="12"/>
        <v>47420.651001229009</v>
      </c>
      <c r="N45" s="38">
        <f t="shared" si="12"/>
        <v>47776.924260379979</v>
      </c>
      <c r="O45" s="38">
        <f t="shared" si="12"/>
        <v>142037.75441764545</v>
      </c>
      <c r="P45" s="38">
        <f t="shared" si="12"/>
        <v>149752.56991508254</v>
      </c>
      <c r="Q45" s="38">
        <f t="shared" si="12"/>
        <v>153463.19103694989</v>
      </c>
      <c r="R45" s="38">
        <f t="shared" si="12"/>
        <v>161010.59194269159</v>
      </c>
      <c r="S45" s="38">
        <f t="shared" si="12"/>
        <v>166930.56659961081</v>
      </c>
      <c r="T45" s="38">
        <f t="shared" si="12"/>
        <v>176511.85049476556</v>
      </c>
      <c r="U45" s="38">
        <f t="shared" si="12"/>
        <v>85760.869807285242</v>
      </c>
      <c r="V45" s="38">
        <f t="shared" si="12"/>
        <v>89587.604337760597</v>
      </c>
      <c r="W45" s="38">
        <f t="shared" si="12"/>
        <v>0</v>
      </c>
      <c r="X45" s="38">
        <f t="shared" si="12"/>
        <v>0</v>
      </c>
      <c r="Y45" s="38">
        <f t="shared" si="12"/>
        <v>0</v>
      </c>
      <c r="Z45" s="38">
        <f t="shared" si="12"/>
        <v>0</v>
      </c>
    </row>
    <row r="46" spans="1:26" hidden="1" outlineLevel="1" x14ac:dyDescent="0.2">
      <c r="A46" s="9" t="s">
        <v>8</v>
      </c>
      <c r="B46" s="4"/>
      <c r="C46" s="38">
        <f t="shared" ref="C46:Z46" si="13">B46+C45</f>
        <v>0</v>
      </c>
      <c r="D46" s="38">
        <f t="shared" si="13"/>
        <v>0</v>
      </c>
      <c r="E46" s="38">
        <f t="shared" si="13"/>
        <v>0</v>
      </c>
      <c r="F46" s="38">
        <f t="shared" si="13"/>
        <v>-10831.391539743354</v>
      </c>
      <c r="G46" s="38">
        <f t="shared" si="13"/>
        <v>-21662.783079486708</v>
      </c>
      <c r="H46" s="38">
        <f t="shared" si="13"/>
        <v>-44388.239116219789</v>
      </c>
      <c r="I46" s="38">
        <f t="shared" si="13"/>
        <v>-62569.416860135709</v>
      </c>
      <c r="J46" s="38">
        <f t="shared" si="13"/>
        <v>-94699.945109162771</v>
      </c>
      <c r="K46" s="38">
        <f t="shared" si="13"/>
        <v>-121620.7611714149</v>
      </c>
      <c r="L46" s="38">
        <f t="shared" si="13"/>
        <v>-162627.54996816342</v>
      </c>
      <c r="M46" s="38">
        <f t="shared" si="13"/>
        <v>-115206.89896693442</v>
      </c>
      <c r="N46" s="38">
        <f t="shared" si="13"/>
        <v>-67429.974706554436</v>
      </c>
      <c r="O46" s="38">
        <f t="shared" si="13"/>
        <v>74607.779711091018</v>
      </c>
      <c r="P46" s="38">
        <f t="shared" si="13"/>
        <v>224360.34962617356</v>
      </c>
      <c r="Q46" s="38">
        <f t="shared" si="13"/>
        <v>377823.54066312348</v>
      </c>
      <c r="R46" s="38">
        <f t="shared" si="13"/>
        <v>538834.13260581507</v>
      </c>
      <c r="S46" s="38">
        <f t="shared" si="13"/>
        <v>705764.69920542592</v>
      </c>
      <c r="T46" s="38">
        <f t="shared" si="13"/>
        <v>882276.54970019148</v>
      </c>
      <c r="U46" s="38">
        <f t="shared" si="13"/>
        <v>968037.41950747673</v>
      </c>
      <c r="V46" s="38">
        <f t="shared" si="13"/>
        <v>1057625.0238452372</v>
      </c>
      <c r="W46" s="38">
        <f t="shared" si="13"/>
        <v>1057625.0238452372</v>
      </c>
      <c r="X46" s="38">
        <f t="shared" si="13"/>
        <v>1057625.0238452372</v>
      </c>
      <c r="Y46" s="38">
        <f t="shared" si="13"/>
        <v>1057625.0238452372</v>
      </c>
      <c r="Z46" s="38">
        <f t="shared" si="13"/>
        <v>1057625.0238452372</v>
      </c>
    </row>
    <row r="47" spans="1:26" hidden="1" outlineLevel="1" x14ac:dyDescent="0.2">
      <c r="A47" s="9" t="s">
        <v>9</v>
      </c>
      <c r="B47" s="4">
        <f>SUM(C47:Z47)</f>
        <v>1057625.0238452372</v>
      </c>
      <c r="C47" s="38">
        <f>'Э1 (СЗ) (2)'!C52+'Э2 (СЗ) (2)'!C52+'Э3 (СЗ) (2)'!C52+'Э4 (СЗ) (2)'!C52</f>
        <v>0</v>
      </c>
      <c r="D47" s="38">
        <f>'Э1 (СЗ) (2)'!D52+'Э2 (СЗ) (2)'!D52+'Э3 (СЗ) (2)'!D52+'Э4 (СЗ) (2)'!D52</f>
        <v>0</v>
      </c>
      <c r="E47" s="38">
        <f>'Э1 (СЗ) (2)'!E52+'Э2 (СЗ) (2)'!E52+'Э3 (СЗ) (2)'!E52+'Э4 (СЗ) (2)'!E52</f>
        <v>0</v>
      </c>
      <c r="F47" s="38">
        <f>'Э1 (СЗ) (2)'!F52+'Э2 (СЗ) (2)'!F52+'Э3 (СЗ) (2)'!F52+'Э4 (СЗ) (2)'!F52</f>
        <v>0</v>
      </c>
      <c r="G47" s="38">
        <f>'Э1 (СЗ) (2)'!G52+'Э2 (СЗ) (2)'!G52+'Э3 (СЗ) (2)'!G52+'Э4 (СЗ) (2)'!G52</f>
        <v>0</v>
      </c>
      <c r="H47" s="38">
        <f>'Э1 (СЗ) (2)'!H52+'Э2 (СЗ) (2)'!H52+'Э3 (СЗ) (2)'!H52+'Э4 (СЗ) (2)'!H52</f>
        <v>0</v>
      </c>
      <c r="I47" s="38">
        <f>'Э1 (СЗ) (2)'!I52+'Э2 (СЗ) (2)'!I52+'Э3 (СЗ) (2)'!I52+'Э4 (СЗ) (2)'!I52</f>
        <v>0</v>
      </c>
      <c r="J47" s="38">
        <f>'Э1 (СЗ) (2)'!J52+'Э2 (СЗ) (2)'!J52+'Э3 (СЗ) (2)'!J52+'Э4 (СЗ) (2)'!J52</f>
        <v>0</v>
      </c>
      <c r="K47" s="38">
        <f>'Э1 (СЗ) (2)'!K52+'Э2 (СЗ) (2)'!K52+'Э3 (СЗ) (2)'!K52+'Э4 (СЗ) (2)'!K52</f>
        <v>0</v>
      </c>
      <c r="L47" s="38">
        <f>'Э1 (СЗ) (2)'!L52+'Э2 (СЗ) (2)'!L52+'Э3 (СЗ) (2)'!L52+'Э4 (СЗ) (2)'!L52</f>
        <v>0</v>
      </c>
      <c r="M47" s="38">
        <f>'Э1 (СЗ) (2)'!M52+'Э2 (СЗ) (2)'!M52+'Э3 (СЗ) (2)'!M52+'Э4 (СЗ) (2)'!M52</f>
        <v>20336.543744781127</v>
      </c>
      <c r="N47" s="38">
        <f>'Э1 (СЗ) (2)'!N52+'Э2 (СЗ) (2)'!N52+'Э3 (СЗ) (2)'!N52+'Э4 (СЗ) (2)'!N52</f>
        <v>83199.136016801873</v>
      </c>
      <c r="O47" s="38">
        <f>'Э1 (СЗ) (2)'!O52+'Э2 (СЗ) (2)'!O52+'Э3 (СЗ) (2)'!O52+'Э4 (СЗ) (2)'!O52</f>
        <v>92121.163729490261</v>
      </c>
      <c r="P47" s="38">
        <f>'Э1 (СЗ) (2)'!P52+'Э2 (СЗ) (2)'!P52+'Э3 (СЗ) (2)'!P52+'Э4 (СЗ) (2)'!P52</f>
        <v>170934.36008421352</v>
      </c>
      <c r="Q47" s="38">
        <f>'Э1 (СЗ) (2)'!Q52+'Э2 (СЗ) (2)'!Q52+'Э3 (СЗ) (2)'!Q52+'Э4 (СЗ) (2)'!Q52</f>
        <v>89929.040505143013</v>
      </c>
      <c r="R47" s="38">
        <f>'Э1 (СЗ) (2)'!R52+'Э2 (СЗ) (2)'!R52+'Э3 (СЗ) (2)'!R52+'Э4 (СЗ) (2)'!R52</f>
        <v>172611.09826878394</v>
      </c>
      <c r="S47" s="38">
        <f>'Э1 (СЗ) (2)'!S52+'Э2 (СЗ) (2)'!S52+'Э3 (СЗ) (2)'!S52+'Э4 (СЗ) (2)'!S52</f>
        <v>88263.649593852824</v>
      </c>
      <c r="T47" s="38">
        <f>'Э1 (СЗ) (2)'!T52+'Э2 (СЗ) (2)'!T52+'Э3 (СЗ) (2)'!T52+'Э4 (СЗ) (2)'!T52</f>
        <v>164881.55775712477</v>
      </c>
      <c r="U47" s="38">
        <f>'Э1 (СЗ) (2)'!U52+'Э2 (СЗ) (2)'!U52+'Э3 (СЗ) (2)'!U52+'Э4 (СЗ) (2)'!U52</f>
        <v>85760.869807285242</v>
      </c>
      <c r="V47" s="38">
        <f>'Э1 (СЗ) (2)'!V52+'Э2 (СЗ) (2)'!V52+'Э3 (СЗ) (2)'!V52+'Э4 (СЗ) (2)'!V52</f>
        <v>89587.604337760597</v>
      </c>
      <c r="W47" s="38">
        <f>'Э1 (СЗ) (2)'!W52+'Э2 (СЗ) (2)'!W52+'Э3 (СЗ) (2)'!W52+'Э4 (СЗ) (2)'!W52</f>
        <v>0</v>
      </c>
      <c r="X47" s="38">
        <f>'Э1 (СЗ) (2)'!X52+'Э2 (СЗ) (2)'!X52+'Э3 (СЗ) (2)'!X52+'Э4 (СЗ) (2)'!X52</f>
        <v>0</v>
      </c>
      <c r="Y47" s="38">
        <f>'Э1 (СЗ) (2)'!Y52+'Э2 (СЗ) (2)'!Y52+'Э3 (СЗ) (2)'!Y52+'Э4 (СЗ) (2)'!Y52</f>
        <v>0</v>
      </c>
      <c r="Z47" s="38">
        <f>'Э1 (СЗ) (2)'!Z52+'Э2 (СЗ) (2)'!Z52+'Э3 (СЗ) (2)'!Z52+'Э4 (СЗ) (2)'!Z52</f>
        <v>0</v>
      </c>
    </row>
    <row r="48" spans="1:26" hidden="1" outlineLevel="1" x14ac:dyDescent="0.2">
      <c r="A48" s="9" t="s">
        <v>10</v>
      </c>
      <c r="B48" s="4">
        <f>SUM(C48:Z48)</f>
        <v>-211525.00476904746</v>
      </c>
      <c r="C48" s="38">
        <f>'Э1 (СЗ) (2)'!C53+'Э2 (СЗ) (2)'!C53+'Э3 (СЗ) (2)'!C53+'Э4 (СЗ) (2)'!C53</f>
        <v>0</v>
      </c>
      <c r="D48" s="38">
        <f>'Э1 (СЗ) (2)'!D53+'Э2 (СЗ) (2)'!D53+'Э3 (СЗ) (2)'!D53+'Э4 (СЗ) (2)'!D53</f>
        <v>0</v>
      </c>
      <c r="E48" s="38">
        <f>'Э1 (СЗ) (2)'!E53+'Э2 (СЗ) (2)'!E53+'Э3 (СЗ) (2)'!E53+'Э4 (СЗ) (2)'!E53</f>
        <v>0</v>
      </c>
      <c r="F48" s="38">
        <f>'Э1 (СЗ) (2)'!F53+'Э2 (СЗ) (2)'!F53+'Э3 (СЗ) (2)'!F53+'Э4 (СЗ) (2)'!F53</f>
        <v>0</v>
      </c>
      <c r="G48" s="38">
        <f>'Э1 (СЗ) (2)'!G53+'Э2 (СЗ) (2)'!G53+'Э3 (СЗ) (2)'!G53+'Э4 (СЗ) (2)'!G53</f>
        <v>0</v>
      </c>
      <c r="H48" s="38">
        <f>'Э1 (СЗ) (2)'!H53+'Э2 (СЗ) (2)'!H53+'Э3 (СЗ) (2)'!H53+'Э4 (СЗ) (2)'!H53</f>
        <v>0</v>
      </c>
      <c r="I48" s="38">
        <f>'Э1 (СЗ) (2)'!I53+'Э2 (СЗ) (2)'!I53+'Э3 (СЗ) (2)'!I53+'Э4 (СЗ) (2)'!I53</f>
        <v>0</v>
      </c>
      <c r="J48" s="38">
        <f>'Э1 (СЗ) (2)'!J53+'Э2 (СЗ) (2)'!J53+'Э3 (СЗ) (2)'!J53+'Э4 (СЗ) (2)'!J53</f>
        <v>0</v>
      </c>
      <c r="K48" s="38">
        <f>'Э1 (СЗ) (2)'!K53+'Э2 (СЗ) (2)'!K53+'Э3 (СЗ) (2)'!K53+'Э4 (СЗ) (2)'!K53</f>
        <v>0</v>
      </c>
      <c r="L48" s="38">
        <f>'Э1 (СЗ) (2)'!L53+'Э2 (СЗ) (2)'!L53+'Э3 (СЗ) (2)'!L53+'Э4 (СЗ) (2)'!L53</f>
        <v>0</v>
      </c>
      <c r="M48" s="38">
        <f>'Э1 (СЗ) (2)'!M53+'Э2 (СЗ) (2)'!M53+'Э3 (СЗ) (2)'!M53+'Э4 (СЗ) (2)'!M53</f>
        <v>-4067.3087489562258</v>
      </c>
      <c r="N48" s="38">
        <f>'Э1 (СЗ) (2)'!N53+'Э2 (СЗ) (2)'!N53+'Э3 (СЗ) (2)'!N53+'Э4 (СЗ) (2)'!N53</f>
        <v>-16639.827203360375</v>
      </c>
      <c r="O48" s="38">
        <f>'Э1 (СЗ) (2)'!O53+'Э2 (СЗ) (2)'!O53+'Э3 (СЗ) (2)'!O53+'Э4 (СЗ) (2)'!O53</f>
        <v>-18424.232745898051</v>
      </c>
      <c r="P48" s="38">
        <f>'Э1 (СЗ) (2)'!P53+'Э2 (СЗ) (2)'!P53+'Э3 (СЗ) (2)'!P53+'Э4 (СЗ) (2)'!P53</f>
        <v>-34186.87201684271</v>
      </c>
      <c r="Q48" s="38">
        <f>'Э1 (СЗ) (2)'!Q53+'Э2 (СЗ) (2)'!Q53+'Э3 (СЗ) (2)'!Q53+'Э4 (СЗ) (2)'!Q53</f>
        <v>-17985.808101028604</v>
      </c>
      <c r="R48" s="38">
        <f>'Э1 (СЗ) (2)'!R53+'Э2 (СЗ) (2)'!R53+'Э3 (СЗ) (2)'!R53+'Э4 (СЗ) (2)'!R53</f>
        <v>-34522.219653756787</v>
      </c>
      <c r="S48" s="38">
        <f>'Э1 (СЗ) (2)'!S53+'Э2 (СЗ) (2)'!S53+'Э3 (СЗ) (2)'!S53+'Э4 (СЗ) (2)'!S53</f>
        <v>-17652.729918770565</v>
      </c>
      <c r="T48" s="38">
        <f>'Э1 (СЗ) (2)'!T53+'Э2 (СЗ) (2)'!T53+'Э3 (СЗ) (2)'!T53+'Э4 (СЗ) (2)'!T53</f>
        <v>-32976.311551424958</v>
      </c>
      <c r="U48" s="38">
        <f>'Э1 (СЗ) (2)'!U53+'Э2 (СЗ) (2)'!U53+'Э3 (СЗ) (2)'!U53+'Э4 (СЗ) (2)'!U53</f>
        <v>-17152.173961457051</v>
      </c>
      <c r="V48" s="38">
        <f>'Э1 (СЗ) (2)'!V53+'Э2 (СЗ) (2)'!V53+'Э3 (СЗ) (2)'!V53+'Э4 (СЗ) (2)'!V53</f>
        <v>-17917.520867552121</v>
      </c>
      <c r="W48" s="38">
        <f>'Э1 (СЗ) (2)'!W53+'Э2 (СЗ) (2)'!W53+'Э3 (СЗ) (2)'!W53+'Э4 (СЗ) (2)'!W53</f>
        <v>0</v>
      </c>
      <c r="X48" s="38">
        <f>'Э1 (СЗ) (2)'!X53+'Э2 (СЗ) (2)'!X53+'Э3 (СЗ) (2)'!X53+'Э4 (СЗ) (2)'!X53</f>
        <v>0</v>
      </c>
      <c r="Y48" s="38">
        <f>'Э1 (СЗ) (2)'!Y53+'Э2 (СЗ) (2)'!Y53+'Э3 (СЗ) (2)'!Y53+'Э4 (СЗ) (2)'!Y53</f>
        <v>0</v>
      </c>
      <c r="Z48" s="38">
        <f>'Э1 (СЗ) (2)'!Z53+'Э2 (СЗ) (2)'!Z53+'Э3 (СЗ) (2)'!Z53+'Э4 (СЗ) (2)'!Z53</f>
        <v>0</v>
      </c>
    </row>
    <row r="49" spans="1:26" hidden="1" outlineLevel="1" x14ac:dyDescent="0.2">
      <c r="A49" s="9" t="s">
        <v>11</v>
      </c>
      <c r="B49" s="4">
        <f>SUM(C49:Z49)</f>
        <v>846100.01907618961</v>
      </c>
      <c r="C49" s="38">
        <f>'Э1 (СЗ) (2)'!C54+'Э2 (СЗ) (2)'!C54+'Э3 (СЗ) (2)'!C54+'Э4 (СЗ) (2)'!C54</f>
        <v>0</v>
      </c>
      <c r="D49" s="38">
        <f>'Э1 (СЗ) (2)'!D54+'Э2 (СЗ) (2)'!D54+'Э3 (СЗ) (2)'!D54+'Э4 (СЗ) (2)'!D54</f>
        <v>0</v>
      </c>
      <c r="E49" s="38">
        <f>'Э1 (СЗ) (2)'!E54+'Э2 (СЗ) (2)'!E54+'Э3 (СЗ) (2)'!E54+'Э4 (СЗ) (2)'!E54</f>
        <v>0</v>
      </c>
      <c r="F49" s="38">
        <f>'Э1 (СЗ) (2)'!F54+'Э2 (СЗ) (2)'!F54+'Э3 (СЗ) (2)'!F54+'Э4 (СЗ) (2)'!F54</f>
        <v>-10831.391539743354</v>
      </c>
      <c r="G49" s="38">
        <f>'Э1 (СЗ) (2)'!G54+'Э2 (СЗ) (2)'!G54+'Э3 (СЗ) (2)'!G54+'Э4 (СЗ) (2)'!G54</f>
        <v>-10831.391539743354</v>
      </c>
      <c r="H49" s="38">
        <f>'Э1 (СЗ) (2)'!H54+'Э2 (СЗ) (2)'!H54+'Э3 (СЗ) (2)'!H54+'Э4 (СЗ) (2)'!H54</f>
        <v>-22725.456036733078</v>
      </c>
      <c r="I49" s="38">
        <f>'Э1 (СЗ) (2)'!I54+'Э2 (СЗ) (2)'!I54+'Э3 (СЗ) (2)'!I54+'Э4 (СЗ) (2)'!I54</f>
        <v>-18181.177743915912</v>
      </c>
      <c r="J49" s="38">
        <f>'Э1 (СЗ) (2)'!J54+'Э2 (СЗ) (2)'!J54+'Э3 (СЗ) (2)'!J54+'Э4 (СЗ) (2)'!J54</f>
        <v>-32130.528249027077</v>
      </c>
      <c r="K49" s="38">
        <f>'Э1 (СЗ) (2)'!K54+'Э2 (СЗ) (2)'!K54+'Э3 (СЗ) (2)'!K54+'Э4 (СЗ) (2)'!K54</f>
        <v>-26920.816062252168</v>
      </c>
      <c r="L49" s="38">
        <f>'Э1 (СЗ) (2)'!L54+'Э2 (СЗ) (2)'!L54+'Э3 (СЗ) (2)'!L54+'Э4 (СЗ) (2)'!L54</f>
        <v>-41006.788796748573</v>
      </c>
      <c r="M49" s="38">
        <f>'Э1 (СЗ) (2)'!M54+'Э2 (СЗ) (2)'!M54+'Э3 (СЗ) (2)'!M54+'Э4 (СЗ) (2)'!M54</f>
        <v>43353.342252272763</v>
      </c>
      <c r="N49" s="38">
        <f>'Э1 (СЗ) (2)'!N54+'Э2 (СЗ) (2)'!N54+'Э3 (СЗ) (2)'!N54+'Э4 (СЗ) (2)'!N54</f>
        <v>31137.097057019608</v>
      </c>
      <c r="O49" s="38">
        <f>'Э1 (СЗ) (2)'!O54+'Э2 (СЗ) (2)'!O54+'Э3 (СЗ) (2)'!O54+'Э4 (СЗ) (2)'!O54</f>
        <v>123613.52167174741</v>
      </c>
      <c r="P49" s="38">
        <f>'Э1 (СЗ) (2)'!P54+'Э2 (СЗ) (2)'!P54+'Э3 (СЗ) (2)'!P54+'Э4 (СЗ) (2)'!P54</f>
        <v>115565.69789823986</v>
      </c>
      <c r="Q49" s="38">
        <f>'Э1 (СЗ) (2)'!Q54+'Э2 (СЗ) (2)'!Q54+'Э3 (СЗ) (2)'!Q54+'Э4 (СЗ) (2)'!Q54</f>
        <v>135477.38293592128</v>
      </c>
      <c r="R49" s="38">
        <f>'Э1 (СЗ) (2)'!R54+'Э2 (СЗ) (2)'!R54+'Э3 (СЗ) (2)'!R54+'Э4 (СЗ) (2)'!R54</f>
        <v>126488.37228893477</v>
      </c>
      <c r="S49" s="38">
        <f>'Э1 (СЗ) (2)'!S54+'Э2 (СЗ) (2)'!S54+'Э3 (СЗ) (2)'!S54+'Э4 (СЗ) (2)'!S54</f>
        <v>149277.83668084024</v>
      </c>
      <c r="T49" s="38">
        <f>'Э1 (СЗ) (2)'!T54+'Э2 (СЗ) (2)'!T54+'Э3 (СЗ) (2)'!T54+'Э4 (СЗ) (2)'!T54</f>
        <v>143535.53894334059</v>
      </c>
      <c r="U49" s="38">
        <f>'Э1 (СЗ) (2)'!U54+'Э2 (СЗ) (2)'!U54+'Э3 (СЗ) (2)'!U54+'Э4 (СЗ) (2)'!U54</f>
        <v>68608.695845828188</v>
      </c>
      <c r="V49" s="38">
        <f>'Э1 (СЗ) (2)'!V54+'Э2 (СЗ) (2)'!V54+'Э3 (СЗ) (2)'!V54+'Э4 (СЗ) (2)'!V54</f>
        <v>71670.083470208483</v>
      </c>
      <c r="W49" s="38">
        <f>'Э1 (СЗ) (2)'!W54+'Э2 (СЗ) (2)'!W54+'Э3 (СЗ) (2)'!W54+'Э4 (СЗ) (2)'!W54</f>
        <v>0</v>
      </c>
      <c r="X49" s="38">
        <f>'Э1 (СЗ) (2)'!X54+'Э2 (СЗ) (2)'!X54+'Э3 (СЗ) (2)'!X54+'Э4 (СЗ) (2)'!X54</f>
        <v>0</v>
      </c>
      <c r="Y49" s="38">
        <f>'Э1 (СЗ) (2)'!Y54+'Э2 (СЗ) (2)'!Y54+'Э3 (СЗ) (2)'!Y54+'Э4 (СЗ) (2)'!Y54</f>
        <v>0</v>
      </c>
      <c r="Z49" s="38">
        <f>'Э1 (СЗ) (2)'!Z54+'Э2 (СЗ) (2)'!Z54+'Э3 (СЗ) (2)'!Z54+'Э4 (СЗ) (2)'!Z54</f>
        <v>0</v>
      </c>
    </row>
    <row r="50" spans="1:26" hidden="1" outlineLevel="1" x14ac:dyDescent="0.2">
      <c r="A50" s="9" t="s">
        <v>8</v>
      </c>
      <c r="B50" s="4"/>
      <c r="C50" s="38">
        <f>'Э1 (СЗ) (2)'!C55+'Э2 (СЗ) (2)'!C55+'Э3 (СЗ) (2)'!C55+'Э4 (СЗ) (2)'!C55</f>
        <v>0</v>
      </c>
      <c r="D50" s="38">
        <f>'Э1 (СЗ) (2)'!D55+'Э2 (СЗ) (2)'!D55+'Э3 (СЗ) (2)'!D55+'Э4 (СЗ) (2)'!D55</f>
        <v>0</v>
      </c>
      <c r="E50" s="38">
        <f>'Э1 (СЗ) (2)'!E55+'Э2 (СЗ) (2)'!E55+'Э3 (СЗ) (2)'!E55+'Э4 (СЗ) (2)'!E55</f>
        <v>0</v>
      </c>
      <c r="F50" s="38">
        <f>'Э1 (СЗ) (2)'!F55+'Э2 (СЗ) (2)'!F55+'Э3 (СЗ) (2)'!F55+'Э4 (СЗ) (2)'!F55</f>
        <v>-10831.391539743354</v>
      </c>
      <c r="G50" s="38">
        <f>'Э1 (СЗ) (2)'!G55+'Э2 (СЗ) (2)'!G55+'Э3 (СЗ) (2)'!G55+'Э4 (СЗ) (2)'!G55</f>
        <v>-21662.783079486708</v>
      </c>
      <c r="H50" s="38">
        <f>'Э1 (СЗ) (2)'!H55+'Э2 (СЗ) (2)'!H55+'Э3 (СЗ) (2)'!H55+'Э4 (СЗ) (2)'!H55</f>
        <v>-44388.239116219782</v>
      </c>
      <c r="I50" s="38">
        <f>'Э1 (СЗ) (2)'!I55+'Э2 (СЗ) (2)'!I55+'Э3 (СЗ) (2)'!I55+'Э4 (СЗ) (2)'!I55</f>
        <v>-62569.416860135694</v>
      </c>
      <c r="J50" s="38">
        <f>'Э1 (СЗ) (2)'!J55+'Э2 (СЗ) (2)'!J55+'Э3 (СЗ) (2)'!J55+'Э4 (СЗ) (2)'!J55</f>
        <v>-94699.945109162771</v>
      </c>
      <c r="K50" s="38">
        <f>'Э1 (СЗ) (2)'!K55+'Э2 (СЗ) (2)'!K55+'Э3 (СЗ) (2)'!K55+'Э4 (СЗ) (2)'!K55</f>
        <v>-121620.76117141494</v>
      </c>
      <c r="L50" s="38">
        <f>'Э1 (СЗ) (2)'!L55+'Э2 (СЗ) (2)'!L55+'Э3 (СЗ) (2)'!L55+'Э4 (СЗ) (2)'!L55</f>
        <v>-162627.54996816351</v>
      </c>
      <c r="M50" s="38">
        <f>'Э1 (СЗ) (2)'!M55+'Э2 (СЗ) (2)'!M55+'Э3 (СЗ) (2)'!M55+'Э4 (СЗ) (2)'!M55</f>
        <v>-119274.20771589075</v>
      </c>
      <c r="N50" s="38">
        <f>'Э1 (СЗ) (2)'!N55+'Э2 (СЗ) (2)'!N55+'Э3 (СЗ) (2)'!N55+'Э4 (СЗ) (2)'!N55</f>
        <v>-88137.110658871141</v>
      </c>
      <c r="O50" s="38">
        <f>'Э1 (СЗ) (2)'!O55+'Э2 (СЗ) (2)'!O55+'Э3 (СЗ) (2)'!O55+'Э4 (СЗ) (2)'!O55</f>
        <v>35476.411012876284</v>
      </c>
      <c r="P50" s="38">
        <f>'Э1 (СЗ) (2)'!P55+'Э2 (СЗ) (2)'!P55+'Э3 (СЗ) (2)'!P55+'Э4 (СЗ) (2)'!P55</f>
        <v>151042.10891111614</v>
      </c>
      <c r="Q50" s="38">
        <f>'Э1 (СЗ) (2)'!Q55+'Э2 (СЗ) (2)'!Q55+'Э3 (СЗ) (2)'!Q55+'Э4 (СЗ) (2)'!Q55</f>
        <v>286519.49184703745</v>
      </c>
      <c r="R50" s="38">
        <f>'Э1 (СЗ) (2)'!R55+'Э2 (СЗ) (2)'!R55+'Э3 (СЗ) (2)'!R55+'Э4 (СЗ) (2)'!R55</f>
        <v>413007.86413597222</v>
      </c>
      <c r="S50" s="38">
        <f>'Э1 (СЗ) (2)'!S55+'Э2 (СЗ) (2)'!S55+'Э3 (СЗ) (2)'!S55+'Э4 (СЗ) (2)'!S55</f>
        <v>562285.70081681246</v>
      </c>
      <c r="T50" s="38">
        <f>'Э1 (СЗ) (2)'!T55+'Э2 (СЗ) (2)'!T55+'Э3 (СЗ) (2)'!T55+'Э4 (СЗ) (2)'!T55</f>
        <v>705821.239760153</v>
      </c>
      <c r="U50" s="38">
        <f>'Э1 (СЗ) (2)'!U55+'Э2 (СЗ) (2)'!U55+'Э3 (СЗ) (2)'!U55+'Э4 (СЗ) (2)'!U55</f>
        <v>774429.93560598127</v>
      </c>
      <c r="V50" s="38">
        <f>'Э1 (СЗ) (2)'!V55+'Э2 (СЗ) (2)'!V55+'Э3 (СЗ) (2)'!V55+'Э4 (СЗ) (2)'!V55</f>
        <v>846100.01907618972</v>
      </c>
      <c r="W50" s="38">
        <f>'Э1 (СЗ) (2)'!W55+'Э2 (СЗ) (2)'!W55+'Э3 (СЗ) (2)'!W55+'Э4 (СЗ) (2)'!W55</f>
        <v>846100.01907618972</v>
      </c>
      <c r="X50" s="38">
        <f>'Э1 (СЗ) (2)'!X55+'Э2 (СЗ) (2)'!X55+'Э3 (СЗ) (2)'!X55+'Э4 (СЗ) (2)'!X55</f>
        <v>846100.01907618972</v>
      </c>
      <c r="Y50" s="38">
        <f>'Э1 (СЗ) (2)'!Y55+'Э2 (СЗ) (2)'!Y55+'Э3 (СЗ) (2)'!Y55+'Э4 (СЗ) (2)'!Y55</f>
        <v>846100.01907618972</v>
      </c>
      <c r="Z50" s="38">
        <f>'Э1 (СЗ) (2)'!Z55+'Э2 (СЗ) (2)'!Z55+'Э3 (СЗ) (2)'!Z55+'Э4 (СЗ) (2)'!Z55</f>
        <v>846100.01907618972</v>
      </c>
    </row>
    <row r="51" spans="1:26" hidden="1" outlineLevel="2" x14ac:dyDescent="0.2">
      <c r="A51" s="21"/>
      <c r="B51" s="67">
        <f>B48/B47</f>
        <v>-0.2</v>
      </c>
      <c r="C51" s="22"/>
      <c r="D51" s="22"/>
      <c r="E51" s="22"/>
      <c r="F51" s="22"/>
      <c r="G51" s="23"/>
      <c r="H51" s="23"/>
      <c r="I51" s="23"/>
      <c r="J51" s="24"/>
      <c r="K51" s="24"/>
      <c r="L51" s="24"/>
      <c r="M51" s="24"/>
      <c r="N51" s="24"/>
      <c r="O51" s="24"/>
      <c r="P51" s="24"/>
    </row>
    <row r="52" spans="1:26" collapsed="1" x14ac:dyDescent="0.2">
      <c r="B52" s="30"/>
      <c r="C52" s="8"/>
      <c r="D52" s="8"/>
      <c r="E52" s="8"/>
      <c r="F52" s="8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45" t="s">
        <v>105</v>
      </c>
      <c r="B53" s="46"/>
      <c r="C53" s="193">
        <f>C5</f>
        <v>2020</v>
      </c>
      <c r="D53" s="193"/>
      <c r="E53" s="193"/>
      <c r="F53" s="193"/>
      <c r="G53" s="193">
        <f>C53+1</f>
        <v>2021</v>
      </c>
      <c r="H53" s="193"/>
      <c r="I53" s="193"/>
      <c r="J53" s="193"/>
      <c r="K53" s="193">
        <f>G53+1</f>
        <v>2022</v>
      </c>
      <c r="L53" s="193"/>
      <c r="M53" s="193"/>
      <c r="N53" s="193"/>
      <c r="O53" s="193">
        <f>K53+1</f>
        <v>2023</v>
      </c>
      <c r="P53" s="193"/>
      <c r="Q53" s="193"/>
      <c r="R53" s="193"/>
      <c r="S53" s="193">
        <f>O53+1</f>
        <v>2024</v>
      </c>
      <c r="T53" s="193"/>
      <c r="U53" s="193"/>
      <c r="V53" s="193"/>
      <c r="W53" s="193">
        <f>S53+1</f>
        <v>2025</v>
      </c>
      <c r="X53" s="193"/>
      <c r="Y53" s="193"/>
      <c r="Z53" s="193"/>
    </row>
    <row r="54" spans="1:26" x14ac:dyDescent="0.2">
      <c r="A54" s="47"/>
      <c r="B54" s="46"/>
      <c r="C54" s="46" t="s">
        <v>15</v>
      </c>
      <c r="D54" s="46" t="s">
        <v>16</v>
      </c>
      <c r="E54" s="46" t="s">
        <v>17</v>
      </c>
      <c r="F54" s="46" t="s">
        <v>18</v>
      </c>
      <c r="G54" s="46" t="s">
        <v>15</v>
      </c>
      <c r="H54" s="46" t="s">
        <v>16</v>
      </c>
      <c r="I54" s="46" t="s">
        <v>17</v>
      </c>
      <c r="J54" s="46" t="s">
        <v>18</v>
      </c>
      <c r="K54" s="46" t="s">
        <v>15</v>
      </c>
      <c r="L54" s="46" t="s">
        <v>16</v>
      </c>
      <c r="M54" s="46" t="s">
        <v>17</v>
      </c>
      <c r="N54" s="46" t="s">
        <v>18</v>
      </c>
      <c r="O54" s="46" t="s">
        <v>15</v>
      </c>
      <c r="P54" s="46" t="s">
        <v>16</v>
      </c>
      <c r="Q54" s="46" t="s">
        <v>17</v>
      </c>
      <c r="R54" s="46" t="s">
        <v>18</v>
      </c>
      <c r="S54" s="46" t="s">
        <v>15</v>
      </c>
      <c r="T54" s="46" t="s">
        <v>16</v>
      </c>
      <c r="U54" s="46" t="s">
        <v>17</v>
      </c>
      <c r="V54" s="46" t="s">
        <v>18</v>
      </c>
      <c r="W54" s="46" t="s">
        <v>15</v>
      </c>
      <c r="X54" s="46" t="s">
        <v>16</v>
      </c>
      <c r="Y54" s="46" t="s">
        <v>17</v>
      </c>
      <c r="Z54" s="46" t="s">
        <v>18</v>
      </c>
    </row>
    <row r="55" spans="1:26" s="44" customFormat="1" x14ac:dyDescent="0.2">
      <c r="A55" s="43" t="s">
        <v>12</v>
      </c>
      <c r="B55" s="48">
        <f>SUM(C55:Z55)</f>
        <v>908760.05751219997</v>
      </c>
      <c r="C55" s="49">
        <f t="shared" ref="C55" si="14">SUM(C56:C59)</f>
        <v>0</v>
      </c>
      <c r="D55" s="49">
        <f>SUM(D56:D59)</f>
        <v>0</v>
      </c>
      <c r="E55" s="49">
        <f t="shared" ref="E55:V55" si="15">SUM(E56:E59)</f>
        <v>0</v>
      </c>
      <c r="F55" s="49">
        <f t="shared" si="15"/>
        <v>0</v>
      </c>
      <c r="G55" s="49">
        <f t="shared" si="15"/>
        <v>0</v>
      </c>
      <c r="H55" s="49">
        <f t="shared" si="15"/>
        <v>0</v>
      </c>
      <c r="I55" s="49">
        <f t="shared" si="15"/>
        <v>0</v>
      </c>
      <c r="J55" s="49">
        <f t="shared" si="15"/>
        <v>0</v>
      </c>
      <c r="K55" s="49">
        <f t="shared" si="15"/>
        <v>0</v>
      </c>
      <c r="L55" s="49">
        <f t="shared" si="15"/>
        <v>0</v>
      </c>
      <c r="M55" s="49">
        <f t="shared" si="15"/>
        <v>37932.018075311636</v>
      </c>
      <c r="N55" s="49">
        <f t="shared" si="15"/>
        <v>68580.248266566501</v>
      </c>
      <c r="O55" s="49">
        <f t="shared" si="15"/>
        <v>96032.282713078923</v>
      </c>
      <c r="P55" s="49">
        <f t="shared" si="15"/>
        <v>138829.05570408955</v>
      </c>
      <c r="Q55" s="49">
        <f t="shared" si="15"/>
        <v>82008.283751663708</v>
      </c>
      <c r="R55" s="49">
        <f t="shared" si="15"/>
        <v>138703.96771515562</v>
      </c>
      <c r="S55" s="49">
        <f t="shared" si="15"/>
        <v>68845.646683205196</v>
      </c>
      <c r="T55" s="49">
        <f t="shared" si="15"/>
        <v>138604.02057915699</v>
      </c>
      <c r="U55" s="49">
        <f t="shared" si="15"/>
        <v>69346.202640518721</v>
      </c>
      <c r="V55" s="49">
        <f t="shared" si="15"/>
        <v>69878.331383453275</v>
      </c>
      <c r="W55" s="49">
        <f>SUM(W56:W59)</f>
        <v>0</v>
      </c>
      <c r="X55" s="49">
        <f>SUM(X56:X59)</f>
        <v>0</v>
      </c>
      <c r="Y55" s="49">
        <f>SUM(Y56:Y59)</f>
        <v>0</v>
      </c>
      <c r="Z55" s="49">
        <f>SUM(Z56:Z59)</f>
        <v>0</v>
      </c>
    </row>
    <row r="56" spans="1:26" x14ac:dyDescent="0.2">
      <c r="A56" s="9" t="s">
        <v>33</v>
      </c>
      <c r="B56" s="4">
        <f t="shared" ref="B56:B64" si="16">SUM(C56:Z56)</f>
        <v>854707.92639420717</v>
      </c>
      <c r="C56" s="38">
        <f t="shared" ref="C56:O56" si="17">-C38</f>
        <v>0</v>
      </c>
      <c r="D56" s="38">
        <f t="shared" si="17"/>
        <v>0</v>
      </c>
      <c r="E56" s="38">
        <f t="shared" si="17"/>
        <v>0</v>
      </c>
      <c r="F56" s="38">
        <f t="shared" si="17"/>
        <v>0</v>
      </c>
      <c r="G56" s="38">
        <f t="shared" si="17"/>
        <v>0</v>
      </c>
      <c r="H56" s="38">
        <f t="shared" si="17"/>
        <v>0</v>
      </c>
      <c r="I56" s="38">
        <f t="shared" si="17"/>
        <v>0</v>
      </c>
      <c r="J56" s="38">
        <f t="shared" si="17"/>
        <v>0</v>
      </c>
      <c r="K56" s="38">
        <f t="shared" si="17"/>
        <v>0</v>
      </c>
      <c r="L56" s="38">
        <f t="shared" si="17"/>
        <v>0</v>
      </c>
      <c r="M56" s="38">
        <f t="shared" si="17"/>
        <v>37932.018075311636</v>
      </c>
      <c r="N56" s="38">
        <f t="shared" si="17"/>
        <v>55780.965063441501</v>
      </c>
      <c r="O56" s="38">
        <f t="shared" si="17"/>
        <v>96032.282713078923</v>
      </c>
      <c r="P56" s="38">
        <f>-P38</f>
        <v>125645.79400487081</v>
      </c>
      <c r="Q56" s="38">
        <f>-Q38</f>
        <v>82008.283751663708</v>
      </c>
      <c r="R56" s="38">
        <f>-R38</f>
        <v>124914.94851698016</v>
      </c>
      <c r="S56" s="38">
        <f t="shared" ref="S56:Z56" si="18">-S38</f>
        <v>68845.646683205196</v>
      </c>
      <c r="T56" s="38">
        <f t="shared" si="18"/>
        <v>138604.02057915699</v>
      </c>
      <c r="U56" s="38">
        <f t="shared" si="18"/>
        <v>55065.635623044887</v>
      </c>
      <c r="V56" s="38">
        <f t="shared" si="18"/>
        <v>69878.331383453275</v>
      </c>
      <c r="W56" s="38">
        <f t="shared" si="18"/>
        <v>0</v>
      </c>
      <c r="X56" s="38">
        <f t="shared" si="18"/>
        <v>0</v>
      </c>
      <c r="Y56" s="38">
        <f t="shared" si="18"/>
        <v>0</v>
      </c>
      <c r="Z56" s="38">
        <f t="shared" si="18"/>
        <v>0</v>
      </c>
    </row>
    <row r="57" spans="1:26" x14ac:dyDescent="0.2">
      <c r="A57" s="9" t="s">
        <v>40</v>
      </c>
      <c r="B57" s="4">
        <f t="shared" si="16"/>
        <v>210.2596479801372</v>
      </c>
      <c r="C57" s="38">
        <f>B73*'ИДиР (2)'!$B$22/4</f>
        <v>0</v>
      </c>
      <c r="D57" s="38">
        <f>C73*'ИДиР (2)'!$B$22/4</f>
        <v>0</v>
      </c>
      <c r="E57" s="38">
        <f>D73*'ИДиР (2)'!$B$22/4</f>
        <v>0</v>
      </c>
      <c r="F57" s="38">
        <f>E73*'ИДиР (2)'!$B$22/4</f>
        <v>0</v>
      </c>
      <c r="G57" s="38">
        <f>F73*'ИДиР (2)'!$B$22/4</f>
        <v>0</v>
      </c>
      <c r="H57" s="38">
        <f>G73*'ИДиР (2)'!$B$22/4</f>
        <v>0</v>
      </c>
      <c r="I57" s="38">
        <f>H73*'ИДиР (2)'!$B$22/4</f>
        <v>0</v>
      </c>
      <c r="J57" s="38">
        <f>I73*'ИДиР (2)'!$B$22/4</f>
        <v>0</v>
      </c>
      <c r="K57" s="38">
        <f>J73*'ИДиР (2)'!$B$22/4</f>
        <v>0</v>
      </c>
      <c r="L57" s="38">
        <f>K73*'ИДиР (2)'!$B$22/4</f>
        <v>0</v>
      </c>
      <c r="M57" s="38">
        <f>L73*'ИДиР (2)'!$B$22/4</f>
        <v>0</v>
      </c>
      <c r="N57" s="38">
        <f>M73*'ИДиР (2)'!$B$22/4</f>
        <v>0</v>
      </c>
      <c r="O57" s="38">
        <f>N73*'ИДиР (2)'!$B$22/4</f>
        <v>0</v>
      </c>
      <c r="P57" s="38">
        <f>O73*'ИДиР (2)'!$B$22/4</f>
        <v>0</v>
      </c>
      <c r="Q57" s="38">
        <f>P73*'ИДиР (2)'!$B$22/4</f>
        <v>0</v>
      </c>
      <c r="R57" s="38">
        <f>Q73*'ИДиР (2)'!$B$22/4</f>
        <v>210.2596479801372</v>
      </c>
      <c r="S57" s="38"/>
      <c r="T57" s="38"/>
      <c r="U57" s="38"/>
      <c r="V57" s="38"/>
      <c r="W57" s="38"/>
      <c r="X57" s="38"/>
      <c r="Y57" s="38"/>
      <c r="Z57" s="38"/>
    </row>
    <row r="58" spans="1:26" x14ac:dyDescent="0.2">
      <c r="A58" s="9" t="s">
        <v>34</v>
      </c>
      <c r="B58" s="4">
        <f t="shared" si="16"/>
        <v>45092.569927781253</v>
      </c>
      <c r="C58" s="38">
        <f t="shared" ref="C58:Z58" si="19">-C21</f>
        <v>0</v>
      </c>
      <c r="D58" s="38">
        <f t="shared" si="19"/>
        <v>0</v>
      </c>
      <c r="E58" s="38">
        <f t="shared" si="19"/>
        <v>0</v>
      </c>
      <c r="F58" s="38">
        <f t="shared" si="19"/>
        <v>0</v>
      </c>
      <c r="G58" s="38">
        <f t="shared" si="19"/>
        <v>0</v>
      </c>
      <c r="H58" s="38">
        <f t="shared" si="19"/>
        <v>0</v>
      </c>
      <c r="I58" s="38">
        <f t="shared" si="19"/>
        <v>0</v>
      </c>
      <c r="J58" s="38">
        <f t="shared" si="19"/>
        <v>0</v>
      </c>
      <c r="K58" s="38">
        <f t="shared" si="19"/>
        <v>0</v>
      </c>
      <c r="L58" s="38">
        <f t="shared" si="19"/>
        <v>0</v>
      </c>
      <c r="M58" s="38">
        <f t="shared" si="19"/>
        <v>0</v>
      </c>
      <c r="N58" s="38">
        <f t="shared" si="19"/>
        <v>10778.34375</v>
      </c>
      <c r="O58" s="38">
        <f t="shared" si="19"/>
        <v>0</v>
      </c>
      <c r="P58" s="38">
        <f t="shared" si="19"/>
        <v>11101.694062500001</v>
      </c>
      <c r="Q58" s="38">
        <f t="shared" si="19"/>
        <v>0</v>
      </c>
      <c r="R58" s="38">
        <f t="shared" si="19"/>
        <v>11434.744884375001</v>
      </c>
      <c r="S58" s="38">
        <f t="shared" si="19"/>
        <v>0</v>
      </c>
      <c r="T58" s="38">
        <f t="shared" si="19"/>
        <v>0</v>
      </c>
      <c r="U58" s="38">
        <f t="shared" si="19"/>
        <v>11777.787230906251</v>
      </c>
      <c r="V58" s="38">
        <f t="shared" si="19"/>
        <v>0</v>
      </c>
      <c r="W58" s="38">
        <f t="shared" si="19"/>
        <v>0</v>
      </c>
      <c r="X58" s="38">
        <f t="shared" si="19"/>
        <v>0</v>
      </c>
      <c r="Y58" s="38">
        <f t="shared" si="19"/>
        <v>0</v>
      </c>
      <c r="Z58" s="38">
        <f t="shared" si="19"/>
        <v>0</v>
      </c>
    </row>
    <row r="59" spans="1:26" x14ac:dyDescent="0.2">
      <c r="A59" s="9" t="s">
        <v>35</v>
      </c>
      <c r="B59" s="4">
        <f t="shared" si="16"/>
        <v>8749.3015422316421</v>
      </c>
      <c r="C59" s="38">
        <f t="shared" ref="C59:Z59" si="20">-C22</f>
        <v>0</v>
      </c>
      <c r="D59" s="38">
        <f t="shared" si="20"/>
        <v>0</v>
      </c>
      <c r="E59" s="38">
        <f t="shared" si="20"/>
        <v>0</v>
      </c>
      <c r="F59" s="38">
        <f t="shared" si="20"/>
        <v>0</v>
      </c>
      <c r="G59" s="38">
        <f t="shared" si="20"/>
        <v>0</v>
      </c>
      <c r="H59" s="38">
        <f t="shared" si="20"/>
        <v>0</v>
      </c>
      <c r="I59" s="38">
        <f t="shared" si="20"/>
        <v>0</v>
      </c>
      <c r="J59" s="38">
        <f t="shared" si="20"/>
        <v>0</v>
      </c>
      <c r="K59" s="38">
        <f t="shared" si="20"/>
        <v>0</v>
      </c>
      <c r="L59" s="38">
        <f t="shared" si="20"/>
        <v>0</v>
      </c>
      <c r="M59" s="38">
        <f t="shared" si="20"/>
        <v>0</v>
      </c>
      <c r="N59" s="38">
        <f t="shared" si="20"/>
        <v>2020.939453125</v>
      </c>
      <c r="O59" s="38">
        <f t="shared" si="20"/>
        <v>0</v>
      </c>
      <c r="P59" s="38">
        <f t="shared" si="20"/>
        <v>2081.5676367187502</v>
      </c>
      <c r="Q59" s="38">
        <f t="shared" si="20"/>
        <v>0</v>
      </c>
      <c r="R59" s="38">
        <f t="shared" si="20"/>
        <v>2144.014665820313</v>
      </c>
      <c r="S59" s="38">
        <f t="shared" si="20"/>
        <v>0</v>
      </c>
      <c r="T59" s="38">
        <f t="shared" si="20"/>
        <v>0</v>
      </c>
      <c r="U59" s="38">
        <f t="shared" si="20"/>
        <v>2502.7797865675784</v>
      </c>
      <c r="V59" s="38">
        <f t="shared" si="20"/>
        <v>0</v>
      </c>
      <c r="W59" s="38">
        <f t="shared" si="20"/>
        <v>0</v>
      </c>
      <c r="X59" s="38">
        <f t="shared" si="20"/>
        <v>0</v>
      </c>
      <c r="Y59" s="38">
        <f t="shared" si="20"/>
        <v>0</v>
      </c>
      <c r="Z59" s="38">
        <f t="shared" si="20"/>
        <v>0</v>
      </c>
    </row>
    <row r="60" spans="1:26" s="44" customFormat="1" x14ac:dyDescent="0.2">
      <c r="A60" s="43" t="s">
        <v>13</v>
      </c>
      <c r="B60" s="48">
        <f t="shared" si="16"/>
        <v>-406561.11667229939</v>
      </c>
      <c r="C60" s="49">
        <f t="shared" ref="C60:Z60" si="21">SUM(C61:C64)</f>
        <v>0</v>
      </c>
      <c r="D60" s="49">
        <f t="shared" si="21"/>
        <v>0</v>
      </c>
      <c r="E60" s="49">
        <f>SUM(E61:E64)</f>
        <v>0</v>
      </c>
      <c r="F60" s="49">
        <f t="shared" si="21"/>
        <v>-250831.39153974334</v>
      </c>
      <c r="G60" s="49">
        <f t="shared" si="21"/>
        <v>-17102.176328236936</v>
      </c>
      <c r="H60" s="49">
        <f t="shared" si="21"/>
        <v>-17866.015061442864</v>
      </c>
      <c r="I60" s="49">
        <f t="shared" si="21"/>
        <v>-18312.665437978932</v>
      </c>
      <c r="J60" s="49">
        <f t="shared" si="21"/>
        <v>-19116.854928678407</v>
      </c>
      <c r="K60" s="49">
        <f t="shared" si="21"/>
        <v>-19594.77630189537</v>
      </c>
      <c r="L60" s="49">
        <f t="shared" si="21"/>
        <v>-20441.409749835253</v>
      </c>
      <c r="M60" s="49">
        <f t="shared" si="21"/>
        <v>-20952.444993581135</v>
      </c>
      <c r="N60" s="49">
        <f t="shared" si="21"/>
        <v>-8657.1429066520159</v>
      </c>
      <c r="O60" s="49">
        <f t="shared" si="21"/>
        <v>-7159.0652726541539</v>
      </c>
      <c r="P60" s="49">
        <f t="shared" si="21"/>
        <v>-4937.2348366435344</v>
      </c>
      <c r="Q60" s="49">
        <f t="shared" si="21"/>
        <v>-1589.9393149573837</v>
      </c>
      <c r="R60" s="49">
        <f t="shared" si="21"/>
        <v>0</v>
      </c>
      <c r="S60" s="49">
        <f t="shared" si="21"/>
        <v>0</v>
      </c>
      <c r="T60" s="49">
        <f t="shared" si="21"/>
        <v>0</v>
      </c>
      <c r="U60" s="49">
        <f t="shared" si="21"/>
        <v>0</v>
      </c>
      <c r="V60" s="49">
        <f t="shared" si="21"/>
        <v>0</v>
      </c>
      <c r="W60" s="49">
        <f t="shared" si="21"/>
        <v>0</v>
      </c>
      <c r="X60" s="49">
        <f t="shared" si="21"/>
        <v>0</v>
      </c>
      <c r="Y60" s="49">
        <f t="shared" si="21"/>
        <v>0</v>
      </c>
      <c r="Z60" s="49">
        <f t="shared" si="21"/>
        <v>0</v>
      </c>
    </row>
    <row r="61" spans="1:26" x14ac:dyDescent="0.2">
      <c r="A61" s="9" t="s">
        <v>81</v>
      </c>
      <c r="B61" s="4">
        <f t="shared" si="16"/>
        <v>-45675.287839950586</v>
      </c>
      <c r="C61" s="38">
        <f t="shared" ref="C61:Z61" si="22">-C14</f>
        <v>0</v>
      </c>
      <c r="D61" s="38">
        <f t="shared" si="22"/>
        <v>0</v>
      </c>
      <c r="E61" s="38">
        <f t="shared" si="22"/>
        <v>0</v>
      </c>
      <c r="F61" s="38">
        <f t="shared" si="22"/>
        <v>-5442.2196647433539</v>
      </c>
      <c r="G61" s="38">
        <f t="shared" si="22"/>
        <v>-5442.2196647433539</v>
      </c>
      <c r="H61" s="38">
        <f t="shared" si="22"/>
        <v>-5616.8288334933541</v>
      </c>
      <c r="I61" s="38">
        <f t="shared" si="22"/>
        <v>-5616.8288334933541</v>
      </c>
      <c r="J61" s="38">
        <f t="shared" si="22"/>
        <v>-5796.6762773058554</v>
      </c>
      <c r="K61" s="38">
        <f t="shared" si="22"/>
        <v>-5796.6762773058554</v>
      </c>
      <c r="L61" s="38">
        <f t="shared" si="22"/>
        <v>-5981.9191444327298</v>
      </c>
      <c r="M61" s="38">
        <f t="shared" si="22"/>
        <v>-5981.9191444327298</v>
      </c>
      <c r="N61" s="38">
        <f t="shared" si="22"/>
        <v>0</v>
      </c>
      <c r="O61" s="38">
        <f t="shared" si="22"/>
        <v>0</v>
      </c>
      <c r="P61" s="38">
        <f t="shared" si="22"/>
        <v>0</v>
      </c>
      <c r="Q61" s="38">
        <f t="shared" si="22"/>
        <v>0</v>
      </c>
      <c r="R61" s="38">
        <f t="shared" si="22"/>
        <v>0</v>
      </c>
      <c r="S61" s="38">
        <f t="shared" si="22"/>
        <v>0</v>
      </c>
      <c r="T61" s="38">
        <f t="shared" si="22"/>
        <v>0</v>
      </c>
      <c r="U61" s="38">
        <f t="shared" si="22"/>
        <v>0</v>
      </c>
      <c r="V61" s="38">
        <f t="shared" si="22"/>
        <v>0</v>
      </c>
      <c r="W61" s="38">
        <f t="shared" si="22"/>
        <v>0</v>
      </c>
      <c r="X61" s="38">
        <f t="shared" si="22"/>
        <v>0</v>
      </c>
      <c r="Y61" s="38">
        <f t="shared" si="22"/>
        <v>0</v>
      </c>
      <c r="Z61" s="38">
        <f t="shared" si="22"/>
        <v>0</v>
      </c>
    </row>
    <row r="62" spans="1:26" x14ac:dyDescent="0.2">
      <c r="A62" s="9" t="s">
        <v>36</v>
      </c>
      <c r="B62" s="4">
        <f t="shared" si="16"/>
        <v>-45092.569927781253</v>
      </c>
      <c r="C62" s="38">
        <f t="shared" ref="C62:Z62" si="23">-C15</f>
        <v>0</v>
      </c>
      <c r="D62" s="38">
        <f t="shared" si="23"/>
        <v>0</v>
      </c>
      <c r="E62" s="38">
        <f t="shared" si="23"/>
        <v>0</v>
      </c>
      <c r="F62" s="38">
        <f t="shared" si="23"/>
        <v>-5389.171875</v>
      </c>
      <c r="G62" s="38">
        <f t="shared" si="23"/>
        <v>-5389.171875</v>
      </c>
      <c r="H62" s="38">
        <f t="shared" si="23"/>
        <v>-5550.8470312500003</v>
      </c>
      <c r="I62" s="38">
        <f t="shared" si="23"/>
        <v>-5550.8470312500003</v>
      </c>
      <c r="J62" s="38">
        <f t="shared" si="23"/>
        <v>-5717.3724421875004</v>
      </c>
      <c r="K62" s="38">
        <f t="shared" si="23"/>
        <v>-5717.3724421875004</v>
      </c>
      <c r="L62" s="38">
        <f t="shared" si="23"/>
        <v>-5888.8936154531257</v>
      </c>
      <c r="M62" s="38">
        <f t="shared" si="23"/>
        <v>-5888.8936154531257</v>
      </c>
      <c r="N62" s="38">
        <f t="shared" si="23"/>
        <v>0</v>
      </c>
      <c r="O62" s="38">
        <f t="shared" si="23"/>
        <v>0</v>
      </c>
      <c r="P62" s="38">
        <f t="shared" si="23"/>
        <v>0</v>
      </c>
      <c r="Q62" s="38">
        <f t="shared" si="23"/>
        <v>0</v>
      </c>
      <c r="R62" s="38">
        <f t="shared" si="23"/>
        <v>0</v>
      </c>
      <c r="S62" s="38">
        <f t="shared" si="23"/>
        <v>0</v>
      </c>
      <c r="T62" s="38">
        <f t="shared" si="23"/>
        <v>0</v>
      </c>
      <c r="U62" s="38">
        <f t="shared" si="23"/>
        <v>0</v>
      </c>
      <c r="V62" s="38">
        <f t="shared" si="23"/>
        <v>0</v>
      </c>
      <c r="W62" s="38">
        <f t="shared" si="23"/>
        <v>0</v>
      </c>
      <c r="X62" s="38">
        <f t="shared" si="23"/>
        <v>0</v>
      </c>
      <c r="Y62" s="38">
        <f t="shared" si="23"/>
        <v>0</v>
      </c>
      <c r="Z62" s="38">
        <f t="shared" si="23"/>
        <v>0</v>
      </c>
    </row>
    <row r="63" spans="1:26" x14ac:dyDescent="0.2">
      <c r="A63" s="9" t="s">
        <v>46</v>
      </c>
      <c r="B63" s="4">
        <f t="shared" si="16"/>
        <v>-75793.258904567512</v>
      </c>
      <c r="C63" s="38">
        <f>-B68*'ИДиР (2)'!$B$18/4</f>
        <v>0</v>
      </c>
      <c r="D63" s="38">
        <f>-C68*'ИДиР (2)'!$B$18/4</f>
        <v>0</v>
      </c>
      <c r="E63" s="38">
        <f>-D68*'ИДиР (2)'!$B$18/4</f>
        <v>0</v>
      </c>
      <c r="F63" s="38">
        <f>-E68*'ИДиР (2)'!$B$18/4</f>
        <v>0</v>
      </c>
      <c r="G63" s="38">
        <f>-F68*'ИДиР (2)'!$B$18/4</f>
        <v>-6270.7847884935836</v>
      </c>
      <c r="H63" s="38">
        <f>-G68*'ИДиР (2)'!$B$18/4</f>
        <v>-6698.3391966995077</v>
      </c>
      <c r="I63" s="38">
        <f>-H68*'ИДиР (2)'!$B$18/4</f>
        <v>-7144.989573235579</v>
      </c>
      <c r="J63" s="38">
        <f>-I68*'ИДиР (2)'!$B$18/4</f>
        <v>-7602.8062091850516</v>
      </c>
      <c r="K63" s="38">
        <f>-J68*'ИДиР (2)'!$B$18/4</f>
        <v>-8080.7275824020126</v>
      </c>
      <c r="L63" s="38">
        <f>-K68*'ИДиР (2)'!$B$18/4</f>
        <v>-8570.5969899493975</v>
      </c>
      <c r="M63" s="38">
        <f>-L68*'ИДиР (2)'!$B$18/4</f>
        <v>-9081.632233695278</v>
      </c>
      <c r="N63" s="38">
        <f>-M68*'ИДиР (2)'!$B$18/4</f>
        <v>-8657.1429066520159</v>
      </c>
      <c r="O63" s="38">
        <f>-N68*'ИДиР (2)'!$B$18/4</f>
        <v>-7159.0652726541539</v>
      </c>
      <c r="P63" s="38">
        <f>-O68*'ИДиР (2)'!$B$18/4</f>
        <v>-4937.2348366435344</v>
      </c>
      <c r="Q63" s="38">
        <f>-P68*'ИДиР (2)'!$B$18/4</f>
        <v>-1589.9393149573837</v>
      </c>
      <c r="R63" s="38">
        <f>-Q68*'ИДиР (2)'!$B$18/4</f>
        <v>0</v>
      </c>
      <c r="S63" s="38">
        <f>-R68*'ИДиР (2)'!$B$18/4</f>
        <v>0</v>
      </c>
      <c r="T63" s="38">
        <f>-S68*'ИДиР (2)'!$B$18/4</f>
        <v>0</v>
      </c>
      <c r="U63" s="38">
        <f>-T68*'ИДиР (2)'!$B$18/4</f>
        <v>0</v>
      </c>
      <c r="V63" s="38">
        <f>-U68*'ИДиР (2)'!$B$18/4</f>
        <v>0</v>
      </c>
      <c r="W63" s="38">
        <f>-V68*'ИДиР (2)'!$B$18/4</f>
        <v>0</v>
      </c>
      <c r="X63" s="38">
        <f>-W68*'ИДиР (2)'!$B$18/4</f>
        <v>0</v>
      </c>
      <c r="Y63" s="38">
        <f>-X68*'ИДиР (2)'!$B$18/4</f>
        <v>0</v>
      </c>
      <c r="Z63" s="38">
        <f>-Y68*'ИДиР (2)'!$B$18/4</f>
        <v>0</v>
      </c>
    </row>
    <row r="64" spans="1:26" s="80" customFormat="1" ht="25.5" x14ac:dyDescent="0.2">
      <c r="A64" s="133" t="s">
        <v>120</v>
      </c>
      <c r="B64" s="119">
        <f t="shared" si="16"/>
        <v>-240000</v>
      </c>
      <c r="C64" s="120">
        <f>C96</f>
        <v>0</v>
      </c>
      <c r="D64" s="120">
        <f>D96</f>
        <v>0</v>
      </c>
      <c r="E64" s="120"/>
      <c r="F64" s="120">
        <f>-Обоснование!B32*1000</f>
        <v>-240000</v>
      </c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s="44" customFormat="1" x14ac:dyDescent="0.2">
      <c r="A65" s="43" t="s">
        <v>41</v>
      </c>
      <c r="B65" s="48"/>
      <c r="C65" s="49">
        <f t="shared" ref="C65:Z65" si="24">B73+C55+C60</f>
        <v>0</v>
      </c>
      <c r="D65" s="49">
        <f t="shared" si="24"/>
        <v>0</v>
      </c>
      <c r="E65" s="49">
        <f t="shared" si="24"/>
        <v>0</v>
      </c>
      <c r="F65" s="49">
        <f t="shared" si="24"/>
        <v>-250831.39153974334</v>
      </c>
      <c r="G65" s="49">
        <f t="shared" si="24"/>
        <v>-17102.176328236936</v>
      </c>
      <c r="H65" s="49">
        <f t="shared" si="24"/>
        <v>-17866.015061442864</v>
      </c>
      <c r="I65" s="49">
        <f t="shared" si="24"/>
        <v>-18312.665437978932</v>
      </c>
      <c r="J65" s="49">
        <f t="shared" si="24"/>
        <v>-19116.854928678407</v>
      </c>
      <c r="K65" s="49">
        <f t="shared" si="24"/>
        <v>-19594.77630189537</v>
      </c>
      <c r="L65" s="49">
        <f t="shared" si="24"/>
        <v>-20441.409749835253</v>
      </c>
      <c r="M65" s="49">
        <f t="shared" si="24"/>
        <v>16979.573081730501</v>
      </c>
      <c r="N65" s="49">
        <f t="shared" si="24"/>
        <v>59923.105359914487</v>
      </c>
      <c r="O65" s="49">
        <f t="shared" si="24"/>
        <v>88873.217440424763</v>
      </c>
      <c r="P65" s="49">
        <f t="shared" si="24"/>
        <v>133891.82086744602</v>
      </c>
      <c r="Q65" s="49">
        <f t="shared" si="24"/>
        <v>80418.34443670632</v>
      </c>
      <c r="R65" s="49">
        <f t="shared" si="24"/>
        <v>155524.73955356661</v>
      </c>
      <c r="S65" s="49">
        <f t="shared" si="24"/>
        <v>224370.38623677182</v>
      </c>
      <c r="T65" s="49">
        <f t="shared" si="24"/>
        <v>362974.40681592881</v>
      </c>
      <c r="U65" s="49">
        <f t="shared" si="24"/>
        <v>432320.60945644754</v>
      </c>
      <c r="V65" s="49">
        <f t="shared" si="24"/>
        <v>502198.94083990081</v>
      </c>
      <c r="W65" s="49">
        <f t="shared" si="24"/>
        <v>502198.94083990081</v>
      </c>
      <c r="X65" s="49">
        <f t="shared" si="24"/>
        <v>502198.94083990081</v>
      </c>
      <c r="Y65" s="49">
        <f t="shared" si="24"/>
        <v>502198.94083990081</v>
      </c>
      <c r="Z65" s="49">
        <f t="shared" si="24"/>
        <v>502198.94083990081</v>
      </c>
    </row>
    <row r="66" spans="1:26" x14ac:dyDescent="0.2">
      <c r="A66" s="9" t="s">
        <v>2</v>
      </c>
      <c r="B66" s="4">
        <f>SUM(C66:Z66)</f>
        <v>363265.28934781114</v>
      </c>
      <c r="C66" s="38">
        <f t="shared" ref="C66:Z66" si="25">IF(C65&lt;0,-C65,0)</f>
        <v>0</v>
      </c>
      <c r="D66" s="38">
        <f t="shared" si="25"/>
        <v>0</v>
      </c>
      <c r="E66" s="38">
        <f t="shared" si="25"/>
        <v>0</v>
      </c>
      <c r="F66" s="38">
        <f t="shared" si="25"/>
        <v>250831.39153974334</v>
      </c>
      <c r="G66" s="38">
        <f t="shared" si="25"/>
        <v>17102.176328236936</v>
      </c>
      <c r="H66" s="38">
        <f t="shared" si="25"/>
        <v>17866.015061442864</v>
      </c>
      <c r="I66" s="38">
        <f t="shared" si="25"/>
        <v>18312.665437978932</v>
      </c>
      <c r="J66" s="38">
        <f t="shared" si="25"/>
        <v>19116.854928678407</v>
      </c>
      <c r="K66" s="38">
        <f t="shared" si="25"/>
        <v>19594.77630189537</v>
      </c>
      <c r="L66" s="38">
        <f t="shared" si="25"/>
        <v>20441.409749835253</v>
      </c>
      <c r="M66" s="38">
        <f t="shared" si="25"/>
        <v>0</v>
      </c>
      <c r="N66" s="38">
        <f t="shared" si="25"/>
        <v>0</v>
      </c>
      <c r="O66" s="38">
        <f t="shared" si="25"/>
        <v>0</v>
      </c>
      <c r="P66" s="38">
        <f t="shared" si="25"/>
        <v>0</v>
      </c>
      <c r="Q66" s="38">
        <f t="shared" si="25"/>
        <v>0</v>
      </c>
      <c r="R66" s="38">
        <f t="shared" si="25"/>
        <v>0</v>
      </c>
      <c r="S66" s="38">
        <f t="shared" si="25"/>
        <v>0</v>
      </c>
      <c r="T66" s="38">
        <f t="shared" si="25"/>
        <v>0</v>
      </c>
      <c r="U66" s="38">
        <f t="shared" si="25"/>
        <v>0</v>
      </c>
      <c r="V66" s="38">
        <f t="shared" si="25"/>
        <v>0</v>
      </c>
      <c r="W66" s="38">
        <f t="shared" si="25"/>
        <v>0</v>
      </c>
      <c r="X66" s="38">
        <f t="shared" si="25"/>
        <v>0</v>
      </c>
      <c r="Y66" s="38">
        <f t="shared" si="25"/>
        <v>0</v>
      </c>
      <c r="Z66" s="38">
        <f t="shared" si="25"/>
        <v>0</v>
      </c>
    </row>
    <row r="67" spans="1:26" x14ac:dyDescent="0.2">
      <c r="A67" s="9" t="s">
        <v>3</v>
      </c>
      <c r="B67" s="4">
        <f>SUM(C67:Z67)</f>
        <v>-363265.28934781114</v>
      </c>
      <c r="C67" s="38">
        <f t="shared" ref="C67:Z67" si="26">IF(C65&gt;0,-MIN(B68,C65),0)</f>
        <v>0</v>
      </c>
      <c r="D67" s="38">
        <f t="shared" si="26"/>
        <v>0</v>
      </c>
      <c r="E67" s="38">
        <f t="shared" si="26"/>
        <v>0</v>
      </c>
      <c r="F67" s="38">
        <f t="shared" si="26"/>
        <v>0</v>
      </c>
      <c r="G67" s="38">
        <f t="shared" si="26"/>
        <v>0</v>
      </c>
      <c r="H67" s="38">
        <f t="shared" si="26"/>
        <v>0</v>
      </c>
      <c r="I67" s="38">
        <f t="shared" si="26"/>
        <v>0</v>
      </c>
      <c r="J67" s="38">
        <f t="shared" si="26"/>
        <v>0</v>
      </c>
      <c r="K67" s="38">
        <f t="shared" si="26"/>
        <v>0</v>
      </c>
      <c r="L67" s="38">
        <f t="shared" si="26"/>
        <v>0</v>
      </c>
      <c r="M67" s="38">
        <f t="shared" si="26"/>
        <v>-16979.573081730501</v>
      </c>
      <c r="N67" s="38">
        <f t="shared" si="26"/>
        <v>-59923.105359914487</v>
      </c>
      <c r="O67" s="38">
        <f t="shared" si="26"/>
        <v>-88873.217440424763</v>
      </c>
      <c r="P67" s="38">
        <f t="shared" si="26"/>
        <v>-133891.82086744602</v>
      </c>
      <c r="Q67" s="38">
        <f t="shared" si="26"/>
        <v>-63597.572598295345</v>
      </c>
      <c r="R67" s="38">
        <f t="shared" si="26"/>
        <v>0</v>
      </c>
      <c r="S67" s="38">
        <f t="shared" si="26"/>
        <v>0</v>
      </c>
      <c r="T67" s="38">
        <f t="shared" si="26"/>
        <v>0</v>
      </c>
      <c r="U67" s="38">
        <f t="shared" si="26"/>
        <v>0</v>
      </c>
      <c r="V67" s="38">
        <f t="shared" si="26"/>
        <v>0</v>
      </c>
      <c r="W67" s="38">
        <f t="shared" si="26"/>
        <v>0</v>
      </c>
      <c r="X67" s="38">
        <f t="shared" si="26"/>
        <v>0</v>
      </c>
      <c r="Y67" s="38">
        <f t="shared" si="26"/>
        <v>0</v>
      </c>
      <c r="Z67" s="38">
        <f t="shared" si="26"/>
        <v>0</v>
      </c>
    </row>
    <row r="68" spans="1:26" s="28" customFormat="1" x14ac:dyDescent="0.2">
      <c r="A68" s="29" t="s">
        <v>4</v>
      </c>
      <c r="B68" s="65">
        <v>0</v>
      </c>
      <c r="C68" s="42">
        <f t="shared" ref="C68:Z68" si="27">B68+C66+C67</f>
        <v>0</v>
      </c>
      <c r="D68" s="42">
        <f t="shared" si="27"/>
        <v>0</v>
      </c>
      <c r="E68" s="42">
        <f t="shared" si="27"/>
        <v>0</v>
      </c>
      <c r="F68" s="42">
        <f t="shared" si="27"/>
        <v>250831.39153974334</v>
      </c>
      <c r="G68" s="42">
        <f t="shared" si="27"/>
        <v>267933.56786798028</v>
      </c>
      <c r="H68" s="42">
        <f t="shared" si="27"/>
        <v>285799.58292942314</v>
      </c>
      <c r="I68" s="42">
        <f t="shared" si="27"/>
        <v>304112.24836740206</v>
      </c>
      <c r="J68" s="42">
        <f t="shared" si="27"/>
        <v>323229.10329608049</v>
      </c>
      <c r="K68" s="42">
        <f t="shared" si="27"/>
        <v>342823.87959797587</v>
      </c>
      <c r="L68" s="42">
        <f t="shared" si="27"/>
        <v>363265.28934781114</v>
      </c>
      <c r="M68" s="42">
        <f t="shared" si="27"/>
        <v>346285.71626608062</v>
      </c>
      <c r="N68" s="42">
        <f t="shared" si="27"/>
        <v>286362.61090616614</v>
      </c>
      <c r="O68" s="42">
        <f t="shared" si="27"/>
        <v>197489.39346574136</v>
      </c>
      <c r="P68" s="42">
        <f t="shared" si="27"/>
        <v>63597.572598295345</v>
      </c>
      <c r="Q68" s="42">
        <f t="shared" si="27"/>
        <v>0</v>
      </c>
      <c r="R68" s="42">
        <f t="shared" si="27"/>
        <v>0</v>
      </c>
      <c r="S68" s="42">
        <f t="shared" si="27"/>
        <v>0</v>
      </c>
      <c r="T68" s="42">
        <f t="shared" si="27"/>
        <v>0</v>
      </c>
      <c r="U68" s="42">
        <f t="shared" si="27"/>
        <v>0</v>
      </c>
      <c r="V68" s="42">
        <f t="shared" si="27"/>
        <v>0</v>
      </c>
      <c r="W68" s="42">
        <f t="shared" si="27"/>
        <v>0</v>
      </c>
      <c r="X68" s="42">
        <f t="shared" si="27"/>
        <v>0</v>
      </c>
      <c r="Y68" s="42">
        <f t="shared" si="27"/>
        <v>0</v>
      </c>
      <c r="Z68" s="42">
        <f t="shared" si="27"/>
        <v>0</v>
      </c>
    </row>
    <row r="69" spans="1:26" s="44" customFormat="1" x14ac:dyDescent="0.2">
      <c r="A69" s="43" t="s">
        <v>0</v>
      </c>
      <c r="B69" s="48"/>
      <c r="C69" s="49">
        <f t="shared" ref="C69:H69" si="28">C65+C66+C67</f>
        <v>0</v>
      </c>
      <c r="D69" s="49">
        <f t="shared" si="28"/>
        <v>0</v>
      </c>
      <c r="E69" s="49">
        <f t="shared" si="28"/>
        <v>0</v>
      </c>
      <c r="F69" s="49">
        <f t="shared" si="28"/>
        <v>0</v>
      </c>
      <c r="G69" s="49">
        <f t="shared" si="28"/>
        <v>0</v>
      </c>
      <c r="H69" s="49">
        <f t="shared" si="28"/>
        <v>0</v>
      </c>
      <c r="I69" s="49">
        <f>I65+I66+I67</f>
        <v>0</v>
      </c>
      <c r="J69" s="49">
        <f t="shared" ref="J69:Z69" si="29">J65+J66+J67</f>
        <v>0</v>
      </c>
      <c r="K69" s="49">
        <f t="shared" si="29"/>
        <v>0</v>
      </c>
      <c r="L69" s="49">
        <f t="shared" si="29"/>
        <v>0</v>
      </c>
      <c r="M69" s="49">
        <f t="shared" si="29"/>
        <v>0</v>
      </c>
      <c r="N69" s="49">
        <f t="shared" si="29"/>
        <v>0</v>
      </c>
      <c r="O69" s="49">
        <f t="shared" si="29"/>
        <v>0</v>
      </c>
      <c r="P69" s="49">
        <f>P65+P66+P67</f>
        <v>0</v>
      </c>
      <c r="Q69" s="49">
        <f t="shared" si="29"/>
        <v>16820.771838410976</v>
      </c>
      <c r="R69" s="49">
        <f t="shared" si="29"/>
        <v>155524.73955356661</v>
      </c>
      <c r="S69" s="49">
        <f t="shared" si="29"/>
        <v>224370.38623677182</v>
      </c>
      <c r="T69" s="49">
        <f t="shared" si="29"/>
        <v>362974.40681592881</v>
      </c>
      <c r="U69" s="49">
        <f t="shared" si="29"/>
        <v>432320.60945644754</v>
      </c>
      <c r="V69" s="49">
        <f t="shared" si="29"/>
        <v>502198.94083990081</v>
      </c>
      <c r="W69" s="49">
        <f t="shared" si="29"/>
        <v>502198.94083990081</v>
      </c>
      <c r="X69" s="49">
        <f t="shared" si="29"/>
        <v>502198.94083990081</v>
      </c>
      <c r="Y69" s="49">
        <f t="shared" si="29"/>
        <v>502198.94083990081</v>
      </c>
      <c r="Z69" s="49">
        <f t="shared" si="29"/>
        <v>502198.94083990081</v>
      </c>
    </row>
    <row r="70" spans="1:26" x14ac:dyDescent="0.2">
      <c r="A70" s="9" t="s">
        <v>5</v>
      </c>
      <c r="B70" s="4">
        <f>SUM(C70:Z70)</f>
        <v>0</v>
      </c>
      <c r="C70" s="38">
        <f t="shared" ref="C70:Z70" si="30">C84</f>
        <v>0</v>
      </c>
      <c r="D70" s="38">
        <f t="shared" si="30"/>
        <v>0</v>
      </c>
      <c r="E70" s="38">
        <f t="shared" si="30"/>
        <v>0</v>
      </c>
      <c r="F70" s="38">
        <f t="shared" si="30"/>
        <v>0</v>
      </c>
      <c r="G70" s="38">
        <f t="shared" si="30"/>
        <v>0</v>
      </c>
      <c r="H70" s="38">
        <f t="shared" si="30"/>
        <v>0</v>
      </c>
      <c r="I70" s="38">
        <f t="shared" si="30"/>
        <v>0</v>
      </c>
      <c r="J70" s="38">
        <f t="shared" si="30"/>
        <v>0</v>
      </c>
      <c r="K70" s="38">
        <f t="shared" si="30"/>
        <v>0</v>
      </c>
      <c r="L70" s="38">
        <f t="shared" si="30"/>
        <v>0</v>
      </c>
      <c r="M70" s="38">
        <f t="shared" si="30"/>
        <v>0</v>
      </c>
      <c r="N70" s="38">
        <f t="shared" si="30"/>
        <v>0</v>
      </c>
      <c r="O70" s="38">
        <f t="shared" si="30"/>
        <v>0</v>
      </c>
      <c r="P70" s="38">
        <f t="shared" si="30"/>
        <v>0</v>
      </c>
      <c r="Q70" s="38">
        <f t="shared" si="30"/>
        <v>0</v>
      </c>
      <c r="R70" s="38">
        <f t="shared" si="30"/>
        <v>0</v>
      </c>
      <c r="S70" s="38">
        <f t="shared" si="30"/>
        <v>0</v>
      </c>
      <c r="T70" s="38">
        <f t="shared" si="30"/>
        <v>0</v>
      </c>
      <c r="U70" s="38">
        <f t="shared" si="30"/>
        <v>0</v>
      </c>
      <c r="V70" s="38">
        <f t="shared" si="30"/>
        <v>0</v>
      </c>
      <c r="W70" s="38">
        <f t="shared" si="30"/>
        <v>0</v>
      </c>
      <c r="X70" s="38">
        <f t="shared" si="30"/>
        <v>0</v>
      </c>
      <c r="Y70" s="38">
        <f t="shared" si="30"/>
        <v>0</v>
      </c>
      <c r="Z70" s="38">
        <f t="shared" si="30"/>
        <v>0</v>
      </c>
    </row>
    <row r="71" spans="1:26" s="44" customFormat="1" x14ac:dyDescent="0.2">
      <c r="A71" s="43" t="s">
        <v>29</v>
      </c>
      <c r="B71" s="48"/>
      <c r="C71" s="49">
        <f t="shared" ref="C71:Z71" si="31">C69+C70</f>
        <v>0</v>
      </c>
      <c r="D71" s="49">
        <f t="shared" si="31"/>
        <v>0</v>
      </c>
      <c r="E71" s="49">
        <f t="shared" si="31"/>
        <v>0</v>
      </c>
      <c r="F71" s="49">
        <f t="shared" si="31"/>
        <v>0</v>
      </c>
      <c r="G71" s="49">
        <f t="shared" si="31"/>
        <v>0</v>
      </c>
      <c r="H71" s="49">
        <f t="shared" si="31"/>
        <v>0</v>
      </c>
      <c r="I71" s="49">
        <f t="shared" si="31"/>
        <v>0</v>
      </c>
      <c r="J71" s="49">
        <f t="shared" si="31"/>
        <v>0</v>
      </c>
      <c r="K71" s="49">
        <f t="shared" si="31"/>
        <v>0</v>
      </c>
      <c r="L71" s="49">
        <f t="shared" si="31"/>
        <v>0</v>
      </c>
      <c r="M71" s="49">
        <f t="shared" si="31"/>
        <v>0</v>
      </c>
      <c r="N71" s="49">
        <f t="shared" si="31"/>
        <v>0</v>
      </c>
      <c r="O71" s="49">
        <f t="shared" si="31"/>
        <v>0</v>
      </c>
      <c r="P71" s="49">
        <f>P69+P70</f>
        <v>0</v>
      </c>
      <c r="Q71" s="49">
        <f t="shared" si="31"/>
        <v>16820.771838410976</v>
      </c>
      <c r="R71" s="49">
        <f t="shared" si="31"/>
        <v>155524.73955356661</v>
      </c>
      <c r="S71" s="49">
        <f t="shared" si="31"/>
        <v>224370.38623677182</v>
      </c>
      <c r="T71" s="49">
        <f t="shared" si="31"/>
        <v>362974.40681592881</v>
      </c>
      <c r="U71" s="49">
        <f t="shared" si="31"/>
        <v>432320.60945644754</v>
      </c>
      <c r="V71" s="49">
        <f t="shared" si="31"/>
        <v>502198.94083990081</v>
      </c>
      <c r="W71" s="49">
        <f t="shared" si="31"/>
        <v>502198.94083990081</v>
      </c>
      <c r="X71" s="49">
        <f t="shared" si="31"/>
        <v>502198.94083990081</v>
      </c>
      <c r="Y71" s="49">
        <f t="shared" si="31"/>
        <v>502198.94083990081</v>
      </c>
      <c r="Z71" s="49">
        <f t="shared" si="31"/>
        <v>502198.94083990081</v>
      </c>
    </row>
    <row r="72" spans="1:26" x14ac:dyDescent="0.2">
      <c r="A72" s="9" t="s">
        <v>30</v>
      </c>
      <c r="B72" s="4">
        <f>SUM(C72:Z72)</f>
        <v>0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s="44" customFormat="1" x14ac:dyDescent="0.2">
      <c r="A73" s="43" t="s">
        <v>31</v>
      </c>
      <c r="B73" s="48"/>
      <c r="C73" s="49">
        <f t="shared" ref="C73:Q73" si="32">C71+C72</f>
        <v>0</v>
      </c>
      <c r="D73" s="49">
        <f t="shared" si="32"/>
        <v>0</v>
      </c>
      <c r="E73" s="49">
        <f t="shared" si="32"/>
        <v>0</v>
      </c>
      <c r="F73" s="49">
        <f t="shared" si="32"/>
        <v>0</v>
      </c>
      <c r="G73" s="49">
        <f t="shared" si="32"/>
        <v>0</v>
      </c>
      <c r="H73" s="49">
        <f t="shared" si="32"/>
        <v>0</v>
      </c>
      <c r="I73" s="49">
        <f t="shared" si="32"/>
        <v>0</v>
      </c>
      <c r="J73" s="49">
        <f t="shared" si="32"/>
        <v>0</v>
      </c>
      <c r="K73" s="49">
        <f t="shared" si="32"/>
        <v>0</v>
      </c>
      <c r="L73" s="49">
        <f t="shared" si="32"/>
        <v>0</v>
      </c>
      <c r="M73" s="49">
        <f t="shared" si="32"/>
        <v>0</v>
      </c>
      <c r="N73" s="49">
        <f t="shared" si="32"/>
        <v>0</v>
      </c>
      <c r="O73" s="49">
        <f t="shared" si="32"/>
        <v>0</v>
      </c>
      <c r="P73" s="49">
        <f>P71+P72</f>
        <v>0</v>
      </c>
      <c r="Q73" s="49">
        <f t="shared" si="32"/>
        <v>16820.771838410976</v>
      </c>
      <c r="R73" s="49">
        <f>R71+R72</f>
        <v>155524.73955356661</v>
      </c>
      <c r="S73" s="49">
        <f t="shared" ref="S73:Z73" si="33">S71+S72</f>
        <v>224370.38623677182</v>
      </c>
      <c r="T73" s="49">
        <f t="shared" si="33"/>
        <v>362974.40681592881</v>
      </c>
      <c r="U73" s="49">
        <f t="shared" si="33"/>
        <v>432320.60945644754</v>
      </c>
      <c r="V73" s="49">
        <f t="shared" si="33"/>
        <v>502198.94083990081</v>
      </c>
      <c r="W73" s="49">
        <f t="shared" si="33"/>
        <v>502198.94083990081</v>
      </c>
      <c r="X73" s="49">
        <f t="shared" si="33"/>
        <v>502198.94083990081</v>
      </c>
      <c r="Y73" s="49">
        <f t="shared" si="33"/>
        <v>502198.94083990081</v>
      </c>
      <c r="Z73" s="49">
        <f t="shared" si="33"/>
        <v>502198.94083990081</v>
      </c>
    </row>
    <row r="74" spans="1:26" x14ac:dyDescent="0.2">
      <c r="A74" s="41" t="s">
        <v>32</v>
      </c>
      <c r="B74" s="123">
        <f>SUM(C74:Z74)</f>
        <v>502198.94083990081</v>
      </c>
      <c r="C74" s="40">
        <f t="shared" ref="C74:Z74" si="34">C55+C60+C70</f>
        <v>0</v>
      </c>
      <c r="D74" s="40">
        <f t="shared" si="34"/>
        <v>0</v>
      </c>
      <c r="E74" s="40">
        <f t="shared" si="34"/>
        <v>0</v>
      </c>
      <c r="F74" s="40">
        <f t="shared" si="34"/>
        <v>-250831.39153974334</v>
      </c>
      <c r="G74" s="40">
        <f t="shared" si="34"/>
        <v>-17102.176328236936</v>
      </c>
      <c r="H74" s="40">
        <f t="shared" si="34"/>
        <v>-17866.015061442864</v>
      </c>
      <c r="I74" s="40">
        <f t="shared" si="34"/>
        <v>-18312.665437978932</v>
      </c>
      <c r="J74" s="40">
        <f t="shared" si="34"/>
        <v>-19116.854928678407</v>
      </c>
      <c r="K74" s="40">
        <f t="shared" si="34"/>
        <v>-19594.77630189537</v>
      </c>
      <c r="L74" s="40">
        <f t="shared" si="34"/>
        <v>-20441.409749835253</v>
      </c>
      <c r="M74" s="40">
        <f t="shared" si="34"/>
        <v>16979.573081730501</v>
      </c>
      <c r="N74" s="40">
        <f t="shared" si="34"/>
        <v>59923.105359914487</v>
      </c>
      <c r="O74" s="40">
        <f t="shared" si="34"/>
        <v>88873.217440424763</v>
      </c>
      <c r="P74" s="40">
        <f t="shared" si="34"/>
        <v>133891.82086744602</v>
      </c>
      <c r="Q74" s="40">
        <f t="shared" si="34"/>
        <v>80418.34443670632</v>
      </c>
      <c r="R74" s="40">
        <f t="shared" si="34"/>
        <v>138703.96771515562</v>
      </c>
      <c r="S74" s="40">
        <f t="shared" si="34"/>
        <v>68845.646683205196</v>
      </c>
      <c r="T74" s="40">
        <f t="shared" si="34"/>
        <v>138604.02057915699</v>
      </c>
      <c r="U74" s="40">
        <f t="shared" si="34"/>
        <v>69346.202640518721</v>
      </c>
      <c r="V74" s="40">
        <f t="shared" si="34"/>
        <v>69878.331383453275</v>
      </c>
      <c r="W74" s="40">
        <f t="shared" si="34"/>
        <v>0</v>
      </c>
      <c r="X74" s="40">
        <f t="shared" si="34"/>
        <v>0</v>
      </c>
      <c r="Y74" s="40">
        <f t="shared" si="34"/>
        <v>0</v>
      </c>
      <c r="Z74" s="40">
        <f t="shared" si="34"/>
        <v>0</v>
      </c>
    </row>
    <row r="75" spans="1:26" x14ac:dyDescent="0.2">
      <c r="A75" s="9" t="s">
        <v>37</v>
      </c>
      <c r="B75" s="38">
        <f>SUM(C75:Z75)</f>
        <v>-406561.11667229939</v>
      </c>
      <c r="C75" s="38">
        <f t="shared" ref="C75:Z75" si="35">C60+C70</f>
        <v>0</v>
      </c>
      <c r="D75" s="38">
        <f t="shared" si="35"/>
        <v>0</v>
      </c>
      <c r="E75" s="38">
        <f t="shared" si="35"/>
        <v>0</v>
      </c>
      <c r="F75" s="38">
        <f t="shared" si="35"/>
        <v>-250831.39153974334</v>
      </c>
      <c r="G75" s="38">
        <f t="shared" si="35"/>
        <v>-17102.176328236936</v>
      </c>
      <c r="H75" s="38">
        <f t="shared" si="35"/>
        <v>-17866.015061442864</v>
      </c>
      <c r="I75" s="38">
        <f t="shared" si="35"/>
        <v>-18312.665437978932</v>
      </c>
      <c r="J75" s="38">
        <f t="shared" si="35"/>
        <v>-19116.854928678407</v>
      </c>
      <c r="K75" s="38">
        <f t="shared" si="35"/>
        <v>-19594.77630189537</v>
      </c>
      <c r="L75" s="38">
        <f t="shared" si="35"/>
        <v>-20441.409749835253</v>
      </c>
      <c r="M75" s="38">
        <f t="shared" si="35"/>
        <v>-20952.444993581135</v>
      </c>
      <c r="N75" s="38">
        <f t="shared" si="35"/>
        <v>-8657.1429066520159</v>
      </c>
      <c r="O75" s="38">
        <f t="shared" si="35"/>
        <v>-7159.0652726541539</v>
      </c>
      <c r="P75" s="38">
        <f t="shared" si="35"/>
        <v>-4937.2348366435344</v>
      </c>
      <c r="Q75" s="38">
        <f t="shared" si="35"/>
        <v>-1589.9393149573837</v>
      </c>
      <c r="R75" s="38">
        <f t="shared" si="35"/>
        <v>0</v>
      </c>
      <c r="S75" s="38">
        <f t="shared" si="35"/>
        <v>0</v>
      </c>
      <c r="T75" s="38">
        <f t="shared" si="35"/>
        <v>0</v>
      </c>
      <c r="U75" s="38">
        <f t="shared" si="35"/>
        <v>0</v>
      </c>
      <c r="V75" s="38">
        <f t="shared" si="35"/>
        <v>0</v>
      </c>
      <c r="W75" s="38">
        <f t="shared" si="35"/>
        <v>0</v>
      </c>
      <c r="X75" s="38">
        <f t="shared" si="35"/>
        <v>0</v>
      </c>
      <c r="Y75" s="38">
        <f t="shared" si="35"/>
        <v>0</v>
      </c>
      <c r="Z75" s="38">
        <f t="shared" si="35"/>
        <v>0</v>
      </c>
    </row>
    <row r="76" spans="1:26" x14ac:dyDescent="0.2">
      <c r="A76" s="9" t="s">
        <v>38</v>
      </c>
      <c r="B76" s="38">
        <f>SUM(C76:Z76)</f>
        <v>908760.05751219997</v>
      </c>
      <c r="C76" s="38">
        <f t="shared" ref="C76:Z76" si="36">C55</f>
        <v>0</v>
      </c>
      <c r="D76" s="38">
        <f t="shared" si="36"/>
        <v>0</v>
      </c>
      <c r="E76" s="38">
        <f t="shared" si="36"/>
        <v>0</v>
      </c>
      <c r="F76" s="38">
        <f t="shared" si="36"/>
        <v>0</v>
      </c>
      <c r="G76" s="38">
        <f t="shared" si="36"/>
        <v>0</v>
      </c>
      <c r="H76" s="38">
        <f t="shared" si="36"/>
        <v>0</v>
      </c>
      <c r="I76" s="38">
        <f t="shared" si="36"/>
        <v>0</v>
      </c>
      <c r="J76" s="38">
        <f t="shared" si="36"/>
        <v>0</v>
      </c>
      <c r="K76" s="38">
        <f t="shared" si="36"/>
        <v>0</v>
      </c>
      <c r="L76" s="38">
        <f t="shared" si="36"/>
        <v>0</v>
      </c>
      <c r="M76" s="38">
        <f t="shared" si="36"/>
        <v>37932.018075311636</v>
      </c>
      <c r="N76" s="38">
        <f t="shared" si="36"/>
        <v>68580.248266566501</v>
      </c>
      <c r="O76" s="38">
        <f t="shared" si="36"/>
        <v>96032.282713078923</v>
      </c>
      <c r="P76" s="38">
        <f t="shared" si="36"/>
        <v>138829.05570408955</v>
      </c>
      <c r="Q76" s="38">
        <f t="shared" si="36"/>
        <v>82008.283751663708</v>
      </c>
      <c r="R76" s="38">
        <f t="shared" si="36"/>
        <v>138703.96771515562</v>
      </c>
      <c r="S76" s="38">
        <f t="shared" si="36"/>
        <v>68845.646683205196</v>
      </c>
      <c r="T76" s="38">
        <f t="shared" si="36"/>
        <v>138604.02057915699</v>
      </c>
      <c r="U76" s="38">
        <f t="shared" si="36"/>
        <v>69346.202640518721</v>
      </c>
      <c r="V76" s="38">
        <f t="shared" si="36"/>
        <v>69878.331383453275</v>
      </c>
      <c r="W76" s="38">
        <f t="shared" si="36"/>
        <v>0</v>
      </c>
      <c r="X76" s="38">
        <f t="shared" si="36"/>
        <v>0</v>
      </c>
      <c r="Y76" s="38">
        <f t="shared" si="36"/>
        <v>0</v>
      </c>
      <c r="Z76" s="38">
        <f t="shared" si="36"/>
        <v>0</v>
      </c>
    </row>
    <row r="77" spans="1:26" x14ac:dyDescent="0.2">
      <c r="A77" s="10" t="s">
        <v>152</v>
      </c>
      <c r="B77" s="124">
        <f>IRR(C74:Z74)*4</f>
        <v>0.33939147707374051</v>
      </c>
      <c r="C77" s="13"/>
      <c r="D77" s="25"/>
      <c r="E77" s="25"/>
      <c r="F77" s="25"/>
      <c r="G77" s="20"/>
      <c r="H77" s="20"/>
      <c r="I77" s="20"/>
      <c r="J77" s="2"/>
      <c r="K77" s="2"/>
      <c r="L77" s="2"/>
      <c r="M77" s="2"/>
      <c r="N77" s="2"/>
      <c r="O77" s="2"/>
      <c r="P77" s="2"/>
      <c r="Q77" s="2"/>
      <c r="R77" s="2"/>
    </row>
    <row r="78" spans="1:26" x14ac:dyDescent="0.2">
      <c r="A78" s="21"/>
      <c r="B78" s="22"/>
      <c r="C78" s="22"/>
      <c r="D78" s="22"/>
      <c r="E78" s="22"/>
      <c r="F78" s="22"/>
      <c r="G78" s="23"/>
      <c r="H78" s="23"/>
      <c r="I78" s="23"/>
      <c r="J78" s="24"/>
      <c r="K78" s="24"/>
      <c r="L78" s="24"/>
      <c r="M78" s="24"/>
      <c r="N78" s="24"/>
      <c r="O78" s="24"/>
      <c r="P78" s="24"/>
    </row>
    <row r="79" spans="1:26" hidden="1" outlineLevel="1" x14ac:dyDescent="0.2">
      <c r="A79" s="9" t="s">
        <v>51</v>
      </c>
      <c r="B79" s="4">
        <f>SUM(C79:Z79)</f>
        <v>8959.561190211778</v>
      </c>
      <c r="C79" s="38">
        <f t="shared" ref="C79:Z79" si="37">C57+C59</f>
        <v>0</v>
      </c>
      <c r="D79" s="38">
        <f t="shared" si="37"/>
        <v>0</v>
      </c>
      <c r="E79" s="38">
        <f t="shared" si="37"/>
        <v>0</v>
      </c>
      <c r="F79" s="38">
        <f t="shared" si="37"/>
        <v>0</v>
      </c>
      <c r="G79" s="38">
        <f t="shared" si="37"/>
        <v>0</v>
      </c>
      <c r="H79" s="38">
        <f t="shared" si="37"/>
        <v>0</v>
      </c>
      <c r="I79" s="38">
        <f t="shared" si="37"/>
        <v>0</v>
      </c>
      <c r="J79" s="38">
        <f t="shared" si="37"/>
        <v>0</v>
      </c>
      <c r="K79" s="38">
        <f t="shared" si="37"/>
        <v>0</v>
      </c>
      <c r="L79" s="38">
        <f t="shared" si="37"/>
        <v>0</v>
      </c>
      <c r="M79" s="38">
        <f t="shared" si="37"/>
        <v>0</v>
      </c>
      <c r="N79" s="38">
        <f t="shared" si="37"/>
        <v>2020.939453125</v>
      </c>
      <c r="O79" s="38">
        <f t="shared" si="37"/>
        <v>0</v>
      </c>
      <c r="P79" s="38">
        <f t="shared" si="37"/>
        <v>2081.5676367187502</v>
      </c>
      <c r="Q79" s="38">
        <f t="shared" si="37"/>
        <v>0</v>
      </c>
      <c r="R79" s="38">
        <f t="shared" si="37"/>
        <v>2354.2743138004503</v>
      </c>
      <c r="S79" s="38">
        <f t="shared" si="37"/>
        <v>0</v>
      </c>
      <c r="T79" s="38">
        <f t="shared" si="37"/>
        <v>0</v>
      </c>
      <c r="U79" s="38">
        <f t="shared" si="37"/>
        <v>2502.7797865675784</v>
      </c>
      <c r="V79" s="38">
        <f t="shared" si="37"/>
        <v>0</v>
      </c>
      <c r="W79" s="38">
        <f t="shared" si="37"/>
        <v>0</v>
      </c>
      <c r="X79" s="38">
        <f t="shared" si="37"/>
        <v>0</v>
      </c>
      <c r="Y79" s="38">
        <f t="shared" si="37"/>
        <v>0</v>
      </c>
      <c r="Z79" s="38">
        <f t="shared" si="37"/>
        <v>0</v>
      </c>
    </row>
    <row r="80" spans="1:26" hidden="1" outlineLevel="1" x14ac:dyDescent="0.2">
      <c r="A80" s="9" t="s">
        <v>6</v>
      </c>
      <c r="B80" s="4">
        <f>SUM(C80:Z80)</f>
        <v>-75793.258904567512</v>
      </c>
      <c r="C80" s="38">
        <f t="shared" ref="C80:Z80" si="38">C63</f>
        <v>0</v>
      </c>
      <c r="D80" s="38">
        <f t="shared" si="38"/>
        <v>0</v>
      </c>
      <c r="E80" s="38">
        <f t="shared" si="38"/>
        <v>0</v>
      </c>
      <c r="F80" s="38">
        <f t="shared" si="38"/>
        <v>0</v>
      </c>
      <c r="G80" s="38">
        <f t="shared" si="38"/>
        <v>-6270.7847884935836</v>
      </c>
      <c r="H80" s="38">
        <f t="shared" si="38"/>
        <v>-6698.3391966995077</v>
      </c>
      <c r="I80" s="38">
        <f t="shared" si="38"/>
        <v>-7144.989573235579</v>
      </c>
      <c r="J80" s="38">
        <f t="shared" si="38"/>
        <v>-7602.8062091850516</v>
      </c>
      <c r="K80" s="38">
        <f t="shared" si="38"/>
        <v>-8080.7275824020126</v>
      </c>
      <c r="L80" s="38">
        <f t="shared" si="38"/>
        <v>-8570.5969899493975</v>
      </c>
      <c r="M80" s="38">
        <f t="shared" si="38"/>
        <v>-9081.632233695278</v>
      </c>
      <c r="N80" s="38">
        <f t="shared" si="38"/>
        <v>-8657.1429066520159</v>
      </c>
      <c r="O80" s="38">
        <f t="shared" si="38"/>
        <v>-7159.0652726541539</v>
      </c>
      <c r="P80" s="38">
        <f t="shared" si="38"/>
        <v>-4937.2348366435344</v>
      </c>
      <c r="Q80" s="38">
        <f t="shared" si="38"/>
        <v>-1589.9393149573837</v>
      </c>
      <c r="R80" s="38">
        <f t="shared" si="38"/>
        <v>0</v>
      </c>
      <c r="S80" s="38">
        <f t="shared" si="38"/>
        <v>0</v>
      </c>
      <c r="T80" s="38">
        <f t="shared" si="38"/>
        <v>0</v>
      </c>
      <c r="U80" s="38">
        <f t="shared" si="38"/>
        <v>0</v>
      </c>
      <c r="V80" s="38">
        <f t="shared" si="38"/>
        <v>0</v>
      </c>
      <c r="W80" s="38">
        <f t="shared" si="38"/>
        <v>0</v>
      </c>
      <c r="X80" s="38">
        <f t="shared" si="38"/>
        <v>0</v>
      </c>
      <c r="Y80" s="38">
        <f t="shared" si="38"/>
        <v>0</v>
      </c>
      <c r="Z80" s="38">
        <f t="shared" si="38"/>
        <v>0</v>
      </c>
    </row>
    <row r="81" spans="1:26" hidden="1" outlineLevel="1" x14ac:dyDescent="0.2">
      <c r="A81" s="9" t="s">
        <v>7</v>
      </c>
      <c r="B81" s="4">
        <f>SUM(C81:Z81)</f>
        <v>-66833.697714355731</v>
      </c>
      <c r="C81" s="38">
        <f t="shared" ref="C81:Z81" si="39">C79+C80</f>
        <v>0</v>
      </c>
      <c r="D81" s="38">
        <f t="shared" si="39"/>
        <v>0</v>
      </c>
      <c r="E81" s="38">
        <f t="shared" si="39"/>
        <v>0</v>
      </c>
      <c r="F81" s="38">
        <f t="shared" si="39"/>
        <v>0</v>
      </c>
      <c r="G81" s="38">
        <f t="shared" si="39"/>
        <v>-6270.7847884935836</v>
      </c>
      <c r="H81" s="38">
        <f t="shared" si="39"/>
        <v>-6698.3391966995077</v>
      </c>
      <c r="I81" s="38">
        <f t="shared" si="39"/>
        <v>-7144.989573235579</v>
      </c>
      <c r="J81" s="38">
        <f t="shared" si="39"/>
        <v>-7602.8062091850516</v>
      </c>
      <c r="K81" s="38">
        <f t="shared" si="39"/>
        <v>-8080.7275824020126</v>
      </c>
      <c r="L81" s="38">
        <f t="shared" si="39"/>
        <v>-8570.5969899493975</v>
      </c>
      <c r="M81" s="38">
        <f t="shared" si="39"/>
        <v>-9081.632233695278</v>
      </c>
      <c r="N81" s="38">
        <f t="shared" si="39"/>
        <v>-6636.2034535270159</v>
      </c>
      <c r="O81" s="38">
        <f t="shared" si="39"/>
        <v>-7159.0652726541539</v>
      </c>
      <c r="P81" s="38">
        <f t="shared" si="39"/>
        <v>-2855.6671999247842</v>
      </c>
      <c r="Q81" s="38">
        <f t="shared" si="39"/>
        <v>-1589.9393149573837</v>
      </c>
      <c r="R81" s="38">
        <f t="shared" si="39"/>
        <v>2354.2743138004503</v>
      </c>
      <c r="S81" s="38">
        <f t="shared" si="39"/>
        <v>0</v>
      </c>
      <c r="T81" s="38">
        <f t="shared" si="39"/>
        <v>0</v>
      </c>
      <c r="U81" s="38">
        <f t="shared" si="39"/>
        <v>2502.7797865675784</v>
      </c>
      <c r="V81" s="38">
        <f t="shared" si="39"/>
        <v>0</v>
      </c>
      <c r="W81" s="38">
        <f t="shared" si="39"/>
        <v>0</v>
      </c>
      <c r="X81" s="38">
        <f t="shared" si="39"/>
        <v>0</v>
      </c>
      <c r="Y81" s="38">
        <f t="shared" si="39"/>
        <v>0</v>
      </c>
      <c r="Z81" s="38">
        <f t="shared" si="39"/>
        <v>0</v>
      </c>
    </row>
    <row r="82" spans="1:26" hidden="1" outlineLevel="1" x14ac:dyDescent="0.2">
      <c r="A82" s="9" t="s">
        <v>8</v>
      </c>
      <c r="B82" s="4"/>
      <c r="C82" s="38">
        <f t="shared" ref="C82:Z82" si="40">B82+C81</f>
        <v>0</v>
      </c>
      <c r="D82" s="38">
        <f t="shared" si="40"/>
        <v>0</v>
      </c>
      <c r="E82" s="38">
        <f t="shared" si="40"/>
        <v>0</v>
      </c>
      <c r="F82" s="38">
        <f t="shared" si="40"/>
        <v>0</v>
      </c>
      <c r="G82" s="38">
        <f t="shared" si="40"/>
        <v>-6270.7847884935836</v>
      </c>
      <c r="H82" s="38">
        <f t="shared" si="40"/>
        <v>-12969.123985193091</v>
      </c>
      <c r="I82" s="38">
        <f t="shared" si="40"/>
        <v>-20114.113558428671</v>
      </c>
      <c r="J82" s="38">
        <f t="shared" si="40"/>
        <v>-27716.919767613723</v>
      </c>
      <c r="K82" s="38">
        <f t="shared" si="40"/>
        <v>-35797.647350015737</v>
      </c>
      <c r="L82" s="38">
        <f t="shared" si="40"/>
        <v>-44368.244339965138</v>
      </c>
      <c r="M82" s="38">
        <f t="shared" si="40"/>
        <v>-53449.876573660418</v>
      </c>
      <c r="N82" s="38">
        <f t="shared" si="40"/>
        <v>-60086.080027187432</v>
      </c>
      <c r="O82" s="38">
        <f t="shared" si="40"/>
        <v>-67245.145299841592</v>
      </c>
      <c r="P82" s="38">
        <f t="shared" si="40"/>
        <v>-70100.812499766369</v>
      </c>
      <c r="Q82" s="38">
        <f t="shared" si="40"/>
        <v>-71690.751814723757</v>
      </c>
      <c r="R82" s="38">
        <f t="shared" si="40"/>
        <v>-69336.477500923313</v>
      </c>
      <c r="S82" s="38">
        <f t="shared" si="40"/>
        <v>-69336.477500923313</v>
      </c>
      <c r="T82" s="38">
        <f t="shared" si="40"/>
        <v>-69336.477500923313</v>
      </c>
      <c r="U82" s="38">
        <f t="shared" si="40"/>
        <v>-66833.697714355731</v>
      </c>
      <c r="V82" s="38">
        <f t="shared" si="40"/>
        <v>-66833.697714355731</v>
      </c>
      <c r="W82" s="38">
        <f t="shared" si="40"/>
        <v>-66833.697714355731</v>
      </c>
      <c r="X82" s="38">
        <f t="shared" si="40"/>
        <v>-66833.697714355731</v>
      </c>
      <c r="Y82" s="38">
        <f t="shared" si="40"/>
        <v>-66833.697714355731</v>
      </c>
      <c r="Z82" s="38">
        <f t="shared" si="40"/>
        <v>-66833.697714355731</v>
      </c>
    </row>
    <row r="83" spans="1:26" hidden="1" outlineLevel="1" x14ac:dyDescent="0.2">
      <c r="A83" s="9" t="s">
        <v>9</v>
      </c>
      <c r="B83" s="4">
        <f>SUM(C83:Z83)</f>
        <v>0</v>
      </c>
      <c r="C83" s="38">
        <f t="shared" ref="C83:Z83" si="41">MAX(MIN(C82,C81),0)</f>
        <v>0</v>
      </c>
      <c r="D83" s="38">
        <f t="shared" si="41"/>
        <v>0</v>
      </c>
      <c r="E83" s="38">
        <f t="shared" si="41"/>
        <v>0</v>
      </c>
      <c r="F83" s="38">
        <f t="shared" si="41"/>
        <v>0</v>
      </c>
      <c r="G83" s="38">
        <f t="shared" si="41"/>
        <v>0</v>
      </c>
      <c r="H83" s="38">
        <f t="shared" si="41"/>
        <v>0</v>
      </c>
      <c r="I83" s="38">
        <f t="shared" si="41"/>
        <v>0</v>
      </c>
      <c r="J83" s="38">
        <f t="shared" si="41"/>
        <v>0</v>
      </c>
      <c r="K83" s="38">
        <f t="shared" si="41"/>
        <v>0</v>
      </c>
      <c r="L83" s="38">
        <f t="shared" si="41"/>
        <v>0</v>
      </c>
      <c r="M83" s="38">
        <f t="shared" si="41"/>
        <v>0</v>
      </c>
      <c r="N83" s="38">
        <f t="shared" si="41"/>
        <v>0</v>
      </c>
      <c r="O83" s="38">
        <f t="shared" si="41"/>
        <v>0</v>
      </c>
      <c r="P83" s="38">
        <f t="shared" si="41"/>
        <v>0</v>
      </c>
      <c r="Q83" s="38">
        <f t="shared" si="41"/>
        <v>0</v>
      </c>
      <c r="R83" s="38">
        <f t="shared" si="41"/>
        <v>0</v>
      </c>
      <c r="S83" s="38">
        <f t="shared" si="41"/>
        <v>0</v>
      </c>
      <c r="T83" s="38">
        <f t="shared" si="41"/>
        <v>0</v>
      </c>
      <c r="U83" s="38">
        <f t="shared" si="41"/>
        <v>0</v>
      </c>
      <c r="V83" s="38">
        <f t="shared" si="41"/>
        <v>0</v>
      </c>
      <c r="W83" s="38">
        <f t="shared" si="41"/>
        <v>0</v>
      </c>
      <c r="X83" s="38">
        <f t="shared" si="41"/>
        <v>0</v>
      </c>
      <c r="Y83" s="38">
        <f t="shared" si="41"/>
        <v>0</v>
      </c>
      <c r="Z83" s="38">
        <f t="shared" si="41"/>
        <v>0</v>
      </c>
    </row>
    <row r="84" spans="1:26" hidden="1" outlineLevel="1" x14ac:dyDescent="0.2">
      <c r="A84" s="9" t="s">
        <v>10</v>
      </c>
      <c r="B84" s="4">
        <f>SUM(C84:Z84)</f>
        <v>0</v>
      </c>
      <c r="C84" s="38">
        <f t="shared" ref="C84:Z84" si="42">-C83*0.2</f>
        <v>0</v>
      </c>
      <c r="D84" s="38">
        <f t="shared" si="42"/>
        <v>0</v>
      </c>
      <c r="E84" s="38">
        <f t="shared" si="42"/>
        <v>0</v>
      </c>
      <c r="F84" s="38">
        <f t="shared" si="42"/>
        <v>0</v>
      </c>
      <c r="G84" s="38">
        <f t="shared" si="42"/>
        <v>0</v>
      </c>
      <c r="H84" s="38">
        <f t="shared" si="42"/>
        <v>0</v>
      </c>
      <c r="I84" s="38">
        <f t="shared" si="42"/>
        <v>0</v>
      </c>
      <c r="J84" s="38">
        <f t="shared" si="42"/>
        <v>0</v>
      </c>
      <c r="K84" s="38">
        <f t="shared" si="42"/>
        <v>0</v>
      </c>
      <c r="L84" s="38">
        <f t="shared" si="42"/>
        <v>0</v>
      </c>
      <c r="M84" s="38">
        <f t="shared" si="42"/>
        <v>0</v>
      </c>
      <c r="N84" s="38">
        <f t="shared" si="42"/>
        <v>0</v>
      </c>
      <c r="O84" s="38">
        <f t="shared" si="42"/>
        <v>0</v>
      </c>
      <c r="P84" s="38">
        <f t="shared" si="42"/>
        <v>0</v>
      </c>
      <c r="Q84" s="38">
        <f t="shared" si="42"/>
        <v>0</v>
      </c>
      <c r="R84" s="38">
        <f t="shared" si="42"/>
        <v>0</v>
      </c>
      <c r="S84" s="38">
        <f t="shared" si="42"/>
        <v>0</v>
      </c>
      <c r="T84" s="38">
        <f t="shared" si="42"/>
        <v>0</v>
      </c>
      <c r="U84" s="38">
        <f t="shared" si="42"/>
        <v>0</v>
      </c>
      <c r="V84" s="38">
        <f t="shared" si="42"/>
        <v>0</v>
      </c>
      <c r="W84" s="38">
        <f t="shared" si="42"/>
        <v>0</v>
      </c>
      <c r="X84" s="38">
        <f t="shared" si="42"/>
        <v>0</v>
      </c>
      <c r="Y84" s="38">
        <f t="shared" si="42"/>
        <v>0</v>
      </c>
      <c r="Z84" s="38">
        <f t="shared" si="42"/>
        <v>0</v>
      </c>
    </row>
    <row r="85" spans="1:26" hidden="1" outlineLevel="1" x14ac:dyDescent="0.2">
      <c r="A85" s="9" t="s">
        <v>11</v>
      </c>
      <c r="B85" s="4">
        <f>SUM(C85:Z85)</f>
        <v>-66833.697714355731</v>
      </c>
      <c r="C85" s="38">
        <f t="shared" ref="C85:Z85" si="43">C81+C84</f>
        <v>0</v>
      </c>
      <c r="D85" s="38">
        <f t="shared" si="43"/>
        <v>0</v>
      </c>
      <c r="E85" s="38">
        <f t="shared" si="43"/>
        <v>0</v>
      </c>
      <c r="F85" s="38">
        <f t="shared" si="43"/>
        <v>0</v>
      </c>
      <c r="G85" s="38">
        <f t="shared" si="43"/>
        <v>-6270.7847884935836</v>
      </c>
      <c r="H85" s="38">
        <f t="shared" si="43"/>
        <v>-6698.3391966995077</v>
      </c>
      <c r="I85" s="38">
        <f t="shared" si="43"/>
        <v>-7144.989573235579</v>
      </c>
      <c r="J85" s="38">
        <f t="shared" si="43"/>
        <v>-7602.8062091850516</v>
      </c>
      <c r="K85" s="38">
        <f t="shared" si="43"/>
        <v>-8080.7275824020126</v>
      </c>
      <c r="L85" s="38">
        <f t="shared" si="43"/>
        <v>-8570.5969899493975</v>
      </c>
      <c r="M85" s="38">
        <f t="shared" si="43"/>
        <v>-9081.632233695278</v>
      </c>
      <c r="N85" s="38">
        <f t="shared" si="43"/>
        <v>-6636.2034535270159</v>
      </c>
      <c r="O85" s="38">
        <f t="shared" si="43"/>
        <v>-7159.0652726541539</v>
      </c>
      <c r="P85" s="38">
        <f t="shared" si="43"/>
        <v>-2855.6671999247842</v>
      </c>
      <c r="Q85" s="38">
        <f t="shared" si="43"/>
        <v>-1589.9393149573837</v>
      </c>
      <c r="R85" s="38">
        <f t="shared" si="43"/>
        <v>2354.2743138004503</v>
      </c>
      <c r="S85" s="38">
        <f t="shared" si="43"/>
        <v>0</v>
      </c>
      <c r="T85" s="38">
        <f t="shared" si="43"/>
        <v>0</v>
      </c>
      <c r="U85" s="38">
        <f t="shared" si="43"/>
        <v>2502.7797865675784</v>
      </c>
      <c r="V85" s="38">
        <f t="shared" si="43"/>
        <v>0</v>
      </c>
      <c r="W85" s="38">
        <f t="shared" si="43"/>
        <v>0</v>
      </c>
      <c r="X85" s="38">
        <f t="shared" si="43"/>
        <v>0</v>
      </c>
      <c r="Y85" s="38">
        <f t="shared" si="43"/>
        <v>0</v>
      </c>
      <c r="Z85" s="38">
        <f t="shared" si="43"/>
        <v>0</v>
      </c>
    </row>
    <row r="86" spans="1:26" hidden="1" outlineLevel="1" x14ac:dyDescent="0.2">
      <c r="A86" s="9" t="s">
        <v>8</v>
      </c>
      <c r="B86" s="4"/>
      <c r="C86" s="38">
        <f t="shared" ref="C86:Z86" si="44">B86+C85</f>
        <v>0</v>
      </c>
      <c r="D86" s="38">
        <f t="shared" si="44"/>
        <v>0</v>
      </c>
      <c r="E86" s="38">
        <f t="shared" si="44"/>
        <v>0</v>
      </c>
      <c r="F86" s="38">
        <f t="shared" si="44"/>
        <v>0</v>
      </c>
      <c r="G86" s="38">
        <f t="shared" si="44"/>
        <v>-6270.7847884935836</v>
      </c>
      <c r="H86" s="38">
        <f t="shared" si="44"/>
        <v>-12969.123985193091</v>
      </c>
      <c r="I86" s="38">
        <f t="shared" si="44"/>
        <v>-20114.113558428671</v>
      </c>
      <c r="J86" s="38">
        <f t="shared" si="44"/>
        <v>-27716.919767613723</v>
      </c>
      <c r="K86" s="38">
        <f t="shared" si="44"/>
        <v>-35797.647350015737</v>
      </c>
      <c r="L86" s="38">
        <f t="shared" si="44"/>
        <v>-44368.244339965138</v>
      </c>
      <c r="M86" s="38">
        <f t="shared" si="44"/>
        <v>-53449.876573660418</v>
      </c>
      <c r="N86" s="38">
        <f t="shared" si="44"/>
        <v>-60086.080027187432</v>
      </c>
      <c r="O86" s="38">
        <f t="shared" si="44"/>
        <v>-67245.145299841592</v>
      </c>
      <c r="P86" s="38">
        <f t="shared" si="44"/>
        <v>-70100.812499766369</v>
      </c>
      <c r="Q86" s="38">
        <f t="shared" si="44"/>
        <v>-71690.751814723757</v>
      </c>
      <c r="R86" s="38">
        <f t="shared" si="44"/>
        <v>-69336.477500923313</v>
      </c>
      <c r="S86" s="38">
        <f t="shared" si="44"/>
        <v>-69336.477500923313</v>
      </c>
      <c r="T86" s="38">
        <f t="shared" si="44"/>
        <v>-69336.477500923313</v>
      </c>
      <c r="U86" s="38">
        <f t="shared" si="44"/>
        <v>-66833.697714355731</v>
      </c>
      <c r="V86" s="38">
        <f t="shared" si="44"/>
        <v>-66833.697714355731</v>
      </c>
      <c r="W86" s="38">
        <f t="shared" si="44"/>
        <v>-66833.697714355731</v>
      </c>
      <c r="X86" s="38">
        <f t="shared" si="44"/>
        <v>-66833.697714355731</v>
      </c>
      <c r="Y86" s="38">
        <f t="shared" si="44"/>
        <v>-66833.697714355731</v>
      </c>
      <c r="Z86" s="38">
        <f t="shared" si="44"/>
        <v>-66833.697714355731</v>
      </c>
    </row>
    <row r="87" spans="1:26" hidden="1" outlineLevel="1" x14ac:dyDescent="0.2">
      <c r="A87" s="21"/>
      <c r="B87" s="27">
        <f>IF(B83=0,0,B84/B83)</f>
        <v>0</v>
      </c>
      <c r="C87" s="22"/>
      <c r="D87" s="22"/>
      <c r="E87" s="22"/>
      <c r="F87" s="22"/>
      <c r="G87" s="23"/>
      <c r="H87" s="23"/>
      <c r="I87" s="23"/>
      <c r="J87" s="24"/>
      <c r="K87" s="24"/>
      <c r="L87" s="24"/>
      <c r="M87" s="24"/>
      <c r="N87" s="24"/>
      <c r="O87" s="24"/>
      <c r="P87" s="24"/>
    </row>
    <row r="88" spans="1:26" hidden="1" collapsed="1" x14ac:dyDescent="0.2"/>
    <row r="89" spans="1:26" hidden="1" x14ac:dyDescent="0.2"/>
    <row r="90" spans="1:26" hidden="1" x14ac:dyDescent="0.2"/>
    <row r="91" spans="1:26" hidden="1" x14ac:dyDescent="0.2"/>
    <row r="92" spans="1:26" hidden="1" x14ac:dyDescent="0.2"/>
    <row r="93" spans="1:26" hidden="1" x14ac:dyDescent="0.2"/>
    <row r="94" spans="1:26" hidden="1" x14ac:dyDescent="0.2"/>
    <row r="95" spans="1:26" hidden="1" x14ac:dyDescent="0.2"/>
    <row r="96" spans="1:26" hidden="1" x14ac:dyDescent="0.2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5:18" hidden="1" x14ac:dyDescent="0.2"/>
    <row r="98" spans="5:18" hidden="1" x14ac:dyDescent="0.2"/>
    <row r="99" spans="5:18" hidden="1" x14ac:dyDescent="0.2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5:18" hidden="1" x14ac:dyDescent="0.2"/>
    <row r="101" spans="5:18" hidden="1" x14ac:dyDescent="0.2"/>
    <row r="102" spans="5:18" x14ac:dyDescent="0.2"/>
  </sheetData>
  <mergeCells count="12">
    <mergeCell ref="W53:Z53"/>
    <mergeCell ref="C5:F5"/>
    <mergeCell ref="G5:J5"/>
    <mergeCell ref="K5:N5"/>
    <mergeCell ref="O5:R5"/>
    <mergeCell ref="S5:V5"/>
    <mergeCell ref="W5:Z5"/>
    <mergeCell ref="C53:F53"/>
    <mergeCell ref="G53:J53"/>
    <mergeCell ref="K53:N53"/>
    <mergeCell ref="O53:R53"/>
    <mergeCell ref="S53:V53"/>
  </mergeCells>
  <conditionalFormatting sqref="B12:Z16 B56:Z59 W23:Z24 W19:Z19 B22:B24 B19">
    <cfRule type="cellIs" dxfId="261" priority="55" operator="equal">
      <formula>0</formula>
    </cfRule>
  </conditionalFormatting>
  <conditionalFormatting sqref="B18 G18:Z18">
    <cfRule type="cellIs" dxfId="260" priority="54" operator="equal">
      <formula>0</formula>
    </cfRule>
  </conditionalFormatting>
  <conditionalFormatting sqref="B20 G20:Z20">
    <cfRule type="cellIs" dxfId="259" priority="53" operator="equal">
      <formula>0</formula>
    </cfRule>
  </conditionalFormatting>
  <conditionalFormatting sqref="B21 G21:Z21">
    <cfRule type="cellIs" dxfId="258" priority="52" operator="equal">
      <formula>0</formula>
    </cfRule>
  </conditionalFormatting>
  <conditionalFormatting sqref="G22:Z22">
    <cfRule type="cellIs" dxfId="257" priority="51" operator="equal">
      <formula>0</formula>
    </cfRule>
  </conditionalFormatting>
  <conditionalFormatting sqref="B26:Z26">
    <cfRule type="cellIs" dxfId="256" priority="50" operator="equal">
      <formula>0</formula>
    </cfRule>
  </conditionalFormatting>
  <conditionalFormatting sqref="B27:Z27">
    <cfRule type="cellIs" dxfId="255" priority="49" operator="equal">
      <formula>0</formula>
    </cfRule>
  </conditionalFormatting>
  <conditionalFormatting sqref="B33:Z34">
    <cfRule type="cellIs" dxfId="254" priority="40" operator="equal">
      <formula>0</formula>
    </cfRule>
  </conditionalFormatting>
  <conditionalFormatting sqref="B30:Z30">
    <cfRule type="cellIs" dxfId="253" priority="48" operator="equal">
      <formula>0</formula>
    </cfRule>
  </conditionalFormatting>
  <conditionalFormatting sqref="B31:Z31">
    <cfRule type="cellIs" dxfId="252" priority="47" operator="equal">
      <formula>0</formula>
    </cfRule>
  </conditionalFormatting>
  <conditionalFormatting sqref="B36:Z36">
    <cfRule type="cellIs" dxfId="251" priority="46" operator="equal">
      <formula>0</formula>
    </cfRule>
  </conditionalFormatting>
  <conditionalFormatting sqref="B38:Z38">
    <cfRule type="cellIs" dxfId="250" priority="45" operator="equal">
      <formula>0</formula>
    </cfRule>
  </conditionalFormatting>
  <conditionalFormatting sqref="B40:Z40">
    <cfRule type="cellIs" dxfId="249" priority="44" operator="equal">
      <formula>0</formula>
    </cfRule>
  </conditionalFormatting>
  <conditionalFormatting sqref="B41:Z41">
    <cfRule type="cellIs" dxfId="248" priority="43" operator="equal">
      <formula>0</formula>
    </cfRule>
  </conditionalFormatting>
  <conditionalFormatting sqref="B28:Z28">
    <cfRule type="cellIs" dxfId="247" priority="42" operator="equal">
      <formula>0</formula>
    </cfRule>
  </conditionalFormatting>
  <conditionalFormatting sqref="B32:Z32">
    <cfRule type="cellIs" dxfId="246" priority="41" operator="equal">
      <formula>0</formula>
    </cfRule>
  </conditionalFormatting>
  <conditionalFormatting sqref="B43:Z50">
    <cfRule type="cellIs" dxfId="245" priority="39" operator="equal">
      <formula>0</formula>
    </cfRule>
  </conditionalFormatting>
  <conditionalFormatting sqref="B61:Z64">
    <cfRule type="cellIs" dxfId="244" priority="38" operator="equal">
      <formula>0</formula>
    </cfRule>
  </conditionalFormatting>
  <conditionalFormatting sqref="B66:Z68">
    <cfRule type="cellIs" dxfId="243" priority="37" operator="equal">
      <formula>0</formula>
    </cfRule>
  </conditionalFormatting>
  <conditionalFormatting sqref="B70:Z70">
    <cfRule type="cellIs" dxfId="242" priority="36" operator="equal">
      <formula>0</formula>
    </cfRule>
  </conditionalFormatting>
  <conditionalFormatting sqref="B72:Z72">
    <cfRule type="cellIs" dxfId="241" priority="35" operator="equal">
      <formula>0</formula>
    </cfRule>
  </conditionalFormatting>
  <conditionalFormatting sqref="B75:Z76">
    <cfRule type="cellIs" dxfId="240" priority="34" operator="equal">
      <formula>0</formula>
    </cfRule>
  </conditionalFormatting>
  <conditionalFormatting sqref="B79:Z86">
    <cfRule type="cellIs" dxfId="239" priority="33" operator="equal">
      <formula>0</formula>
    </cfRule>
  </conditionalFormatting>
  <conditionalFormatting sqref="F18">
    <cfRule type="cellIs" dxfId="238" priority="32" operator="equal">
      <formula>0</formula>
    </cfRule>
  </conditionalFormatting>
  <conditionalFormatting sqref="F20">
    <cfRule type="cellIs" dxfId="237" priority="31" operator="equal">
      <formula>0</formula>
    </cfRule>
  </conditionalFormatting>
  <conditionalFormatting sqref="F21">
    <cfRule type="cellIs" dxfId="236" priority="30" operator="equal">
      <formula>0</formula>
    </cfRule>
  </conditionalFormatting>
  <conditionalFormatting sqref="F22">
    <cfRule type="cellIs" dxfId="235" priority="29" operator="equal">
      <formula>0</formula>
    </cfRule>
  </conditionalFormatting>
  <conditionalFormatting sqref="E18">
    <cfRule type="cellIs" dxfId="234" priority="28" operator="equal">
      <formula>0</formula>
    </cfRule>
  </conditionalFormatting>
  <conditionalFormatting sqref="E20">
    <cfRule type="cellIs" dxfId="233" priority="27" operator="equal">
      <formula>0</formula>
    </cfRule>
  </conditionalFormatting>
  <conditionalFormatting sqref="E21">
    <cfRule type="cellIs" dxfId="232" priority="26" operator="equal">
      <formula>0</formula>
    </cfRule>
  </conditionalFormatting>
  <conditionalFormatting sqref="E22">
    <cfRule type="cellIs" dxfId="231" priority="25" operator="equal">
      <formula>0</formula>
    </cfRule>
  </conditionalFormatting>
  <conditionalFormatting sqref="D18">
    <cfRule type="cellIs" dxfId="230" priority="24" operator="equal">
      <formula>0</formula>
    </cfRule>
  </conditionalFormatting>
  <conditionalFormatting sqref="D20">
    <cfRule type="cellIs" dxfId="229" priority="23" operator="equal">
      <formula>0</formula>
    </cfRule>
  </conditionalFormatting>
  <conditionalFormatting sqref="D21">
    <cfRule type="cellIs" dxfId="228" priority="22" operator="equal">
      <formula>0</formula>
    </cfRule>
  </conditionalFormatting>
  <conditionalFormatting sqref="D22">
    <cfRule type="cellIs" dxfId="227" priority="21" operator="equal">
      <formula>0</formula>
    </cfRule>
  </conditionalFormatting>
  <conditionalFormatting sqref="C18">
    <cfRule type="cellIs" dxfId="226" priority="20" operator="equal">
      <formula>0</formula>
    </cfRule>
  </conditionalFormatting>
  <conditionalFormatting sqref="C20">
    <cfRule type="cellIs" dxfId="225" priority="19" operator="equal">
      <formula>0</formula>
    </cfRule>
  </conditionalFormatting>
  <conditionalFormatting sqref="C21">
    <cfRule type="cellIs" dxfId="224" priority="18" operator="equal">
      <formula>0</formula>
    </cfRule>
  </conditionalFormatting>
  <conditionalFormatting sqref="C22">
    <cfRule type="cellIs" dxfId="223" priority="17" operator="equal">
      <formula>0</formula>
    </cfRule>
  </conditionalFormatting>
  <conditionalFormatting sqref="G19:V19">
    <cfRule type="cellIs" dxfId="222" priority="16" operator="equal">
      <formula>0</formula>
    </cfRule>
  </conditionalFormatting>
  <conditionalFormatting sqref="F19">
    <cfRule type="cellIs" dxfId="221" priority="15" operator="equal">
      <formula>0</formula>
    </cfRule>
  </conditionalFormatting>
  <conditionalFormatting sqref="E19">
    <cfRule type="cellIs" dxfId="220" priority="14" operator="equal">
      <formula>0</formula>
    </cfRule>
  </conditionalFormatting>
  <conditionalFormatting sqref="D19">
    <cfRule type="cellIs" dxfId="219" priority="13" operator="equal">
      <formula>0</formula>
    </cfRule>
  </conditionalFormatting>
  <conditionalFormatting sqref="C19">
    <cfRule type="cellIs" dxfId="218" priority="12" operator="equal">
      <formula>0</formula>
    </cfRule>
  </conditionalFormatting>
  <conditionalFormatting sqref="G23:V23">
    <cfRule type="cellIs" dxfId="217" priority="11" operator="equal">
      <formula>0</formula>
    </cfRule>
  </conditionalFormatting>
  <conditionalFormatting sqref="F23">
    <cfRule type="cellIs" dxfId="216" priority="10" operator="equal">
      <formula>0</formula>
    </cfRule>
  </conditionalFormatting>
  <conditionalFormatting sqref="E23">
    <cfRule type="cellIs" dxfId="215" priority="9" operator="equal">
      <formula>0</formula>
    </cfRule>
  </conditionalFormatting>
  <conditionalFormatting sqref="D23">
    <cfRule type="cellIs" dxfId="214" priority="8" operator="equal">
      <formula>0</formula>
    </cfRule>
  </conditionalFormatting>
  <conditionalFormatting sqref="C23">
    <cfRule type="cellIs" dxfId="213" priority="7" operator="equal">
      <formula>0</formula>
    </cfRule>
  </conditionalFormatting>
  <conditionalFormatting sqref="G24:V24">
    <cfRule type="cellIs" dxfId="212" priority="6" operator="equal">
      <formula>0</formula>
    </cfRule>
  </conditionalFormatting>
  <conditionalFormatting sqref="F24">
    <cfRule type="cellIs" dxfId="211" priority="5" operator="equal">
      <formula>0</formula>
    </cfRule>
  </conditionalFormatting>
  <conditionalFormatting sqref="E24">
    <cfRule type="cellIs" dxfId="210" priority="4" operator="equal">
      <formula>0</formula>
    </cfRule>
  </conditionalFormatting>
  <conditionalFormatting sqref="D24">
    <cfRule type="cellIs" dxfId="209" priority="3" operator="equal">
      <formula>0</formula>
    </cfRule>
  </conditionalFormatting>
  <conditionalFormatting sqref="C24">
    <cfRule type="cellIs" dxfId="208" priority="2" operator="equal">
      <formula>0</formula>
    </cfRule>
  </conditionalFormatting>
  <conditionalFormatting sqref="C10:V10">
    <cfRule type="cellIs" dxfId="207" priority="1" operator="equal">
      <formula>0</formula>
    </cfRule>
  </conditionalFormatting>
  <pageMargins left="0.56999999999999995" right="0.31496062992125984" top="0.19685039370078741" bottom="0.19685039370078741" header="0.11811023622047245" footer="0.11811023622047245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Обоснование</vt:lpstr>
      <vt:lpstr>ИДиР</vt:lpstr>
      <vt:lpstr>Свод</vt:lpstr>
      <vt:lpstr>Э1 (СЗ)</vt:lpstr>
      <vt:lpstr>Э2 (СЗ)</vt:lpstr>
      <vt:lpstr>Э3 (СЗ)</vt:lpstr>
      <vt:lpstr>Э4 (СЗ)</vt:lpstr>
      <vt:lpstr>ИДиР (2)</vt:lpstr>
      <vt:lpstr>Свод (2)</vt:lpstr>
      <vt:lpstr>Э1 (СЗ) (2)</vt:lpstr>
      <vt:lpstr>Э2 (СЗ) (2)</vt:lpstr>
      <vt:lpstr>Э3 (СЗ) (2)</vt:lpstr>
      <vt:lpstr>Э4 (СЗ) (2)</vt:lpstr>
      <vt:lpstr>Свод!Заголовки_для_печати</vt:lpstr>
      <vt:lpstr>'Свод (2)'!Заголовки_для_печати</vt:lpstr>
      <vt:lpstr>'Э1 (СЗ)'!Заголовки_для_печати</vt:lpstr>
      <vt:lpstr>'Э1 (СЗ) (2)'!Заголовки_для_печати</vt:lpstr>
      <vt:lpstr>'Э2 (СЗ)'!Заголовки_для_печати</vt:lpstr>
      <vt:lpstr>'Э2 (СЗ) (2)'!Заголовки_для_печати</vt:lpstr>
      <vt:lpstr>'Э3 (СЗ)'!Заголовки_для_печати</vt:lpstr>
      <vt:lpstr>'Э3 (СЗ) (2)'!Заголовки_для_печати</vt:lpstr>
      <vt:lpstr>'Э4 (СЗ)'!Заголовки_для_печати</vt:lpstr>
      <vt:lpstr>'Э4 (СЗ) (2)'!Заголовки_для_печати</vt:lpstr>
      <vt:lpstr>Обоснование!Область_печати</vt:lpstr>
      <vt:lpstr>Свод!Область_печати</vt:lpstr>
      <vt:lpstr>'Свод (2)'!Область_печати</vt:lpstr>
      <vt:lpstr>'Э1 (СЗ)'!Область_печати</vt:lpstr>
      <vt:lpstr>'Э1 (СЗ) (2)'!Область_печати</vt:lpstr>
      <vt:lpstr>'Э2 (СЗ)'!Область_печати</vt:lpstr>
      <vt:lpstr>'Э2 (СЗ) (2)'!Область_печати</vt:lpstr>
      <vt:lpstr>'Э3 (СЗ)'!Область_печати</vt:lpstr>
      <vt:lpstr>'Э3 (СЗ) (2)'!Область_печати</vt:lpstr>
      <vt:lpstr>'Э4 (СЗ)'!Область_печати</vt:lpstr>
      <vt:lpstr>'Э4 (СЗ)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shopin</cp:lastModifiedBy>
  <cp:lastPrinted>2020-06-19T15:43:30Z</cp:lastPrinted>
  <dcterms:created xsi:type="dcterms:W3CDTF">2019-02-02T12:34:08Z</dcterms:created>
  <dcterms:modified xsi:type="dcterms:W3CDTF">2020-07-15T07:45:20Z</dcterms:modified>
</cp:coreProperties>
</file>